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uation" sheetId="1" state="visible" r:id="rId3"/>
    <sheet name="Cost of Capital" sheetId="2" state="visible" r:id="rId4"/>
    <sheet name="Benchmarks &amp; Sourc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<sst xmlns="http://schemas.openxmlformats.org/spreadsheetml/2006/main" count="453" uniqueCount="395">
  <si>
    <t xml:space="preserve">DTC Brand Value &amp; Capital Calculator</t>
  </si>
  <si>
    <t xml:space="preserve">What your brand is worth, what actually hits your bank account, and what your capital really costs</t>
  </si>
  <si>
    <t xml:space="preserve">Yellow cells are yours to fill in. Everything else calculates. The two bright yellow cells drive the biggest swings, so start there. Sources are on the Benchmarks tab.</t>
  </si>
  <si>
    <t xml:space="preserve">1.  THE BUSINESS  (trailing twelve months)</t>
  </si>
  <si>
    <t xml:space="preserve">Line item</t>
  </si>
  <si>
    <t xml:space="preserve">Your input</t>
  </si>
  <si>
    <t xml:space="preserve">How to read this</t>
  </si>
  <si>
    <t xml:space="preserve">TTM net revenue</t>
  </si>
  <si>
    <t xml:space="preserve">Net of discounts and returns.</t>
  </si>
  <si>
    <t xml:space="preserve">COGS (product + inbound freight)</t>
  </si>
  <si>
    <t xml:space="preserve">Landed product cost. Fulfillment and outbound shipping go in opex below.</t>
  </si>
  <si>
    <t xml:space="preserve">Gross profit</t>
  </si>
  <si>
    <t xml:space="preserve">Gross margin %</t>
  </si>
  <si>
    <t xml:space="preserve">Above 50% helps your multiple. Above 60% is premium.</t>
  </si>
  <si>
    <t xml:space="preserve">Marketing and ad spend</t>
  </si>
  <si>
    <t xml:space="preserve">Fulfillment, shipping, merchant fees</t>
  </si>
  <si>
    <t xml:space="preserve">Payroll (everyone except you)</t>
  </si>
  <si>
    <t xml:space="preserve">All other operating expense</t>
  </si>
  <si>
    <t xml:space="preserve">Software, rent, agencies, professional fees, anything not listed above.</t>
  </si>
  <si>
    <t xml:space="preserve">Your total compensation (salary + distributions taken as comp)</t>
  </si>
  <si>
    <t xml:space="preserve">What you actually paid yourself. Salary plus any distributions you took as comp.</t>
  </si>
  <si>
    <t xml:space="preserve">Depreciation &amp; amortization</t>
  </si>
  <si>
    <t xml:space="preserve">Reported operating income</t>
  </si>
  <si>
    <t xml:space="preserve">Reported EBITDA</t>
  </si>
  <si>
    <t xml:space="preserve">Your honest starting point, before any add-backs.</t>
  </si>
  <si>
    <t xml:space="preserve">EBITDA margin %</t>
  </si>
  <si>
    <t xml:space="preserve">20%+ is premium. Under 10% and buyers price you as a turnaround.</t>
  </si>
  <si>
    <t xml:space="preserve">2.  EARNINGS ENGINE  (the number a buyer applies a multiple to)</t>
  </si>
  <si>
    <t xml:space="preserve">Add-back</t>
  </si>
  <si>
    <t xml:space="preserve">Amount</t>
  </si>
  <si>
    <t xml:space="preserve">Survives QoE?</t>
  </si>
  <si>
    <t xml:space="preserve">Market rate to replace you (benchmark salary for your role)</t>
  </si>
  <si>
    <t xml:space="preserve">Assumption</t>
  </si>
  <si>
    <t xml:space="preserve">KEY ASSUMPTION. What you would pay a hired GM to do your job. Only your comp above this counts as an add-back.</t>
  </si>
  <si>
    <t xml:space="preserve">Excess owner comp (your comp above market rate)</t>
  </si>
  <si>
    <t xml:space="preserve">Accepted</t>
  </si>
  <si>
    <t xml:space="preserve">Accepted in over 80% of deals per DealStats, and usually the biggest single add-back.</t>
  </si>
  <si>
    <t xml:space="preserve">Owner perks and personal expenses run through the business</t>
  </si>
  <si>
    <t xml:space="preserve">Vehicles, family travel, personal subscriptions. Only survives if you can document it as personal.</t>
  </si>
  <si>
    <t xml:space="preserve">One-time professional and legal fees</t>
  </si>
  <si>
    <t xml:space="preserve">Settled litigation, one-off counsel. Your recurring legal bill doesn't count.</t>
  </si>
  <si>
    <t xml:space="preserve">M&amp;A / transaction costs</t>
  </si>
  <si>
    <t xml:space="preserve">Clearly non-operating, so buyers accept these easily.</t>
  </si>
  <si>
    <t xml:space="preserve">Severance for terminated staff</t>
  </si>
  <si>
    <t xml:space="preserve">You'll need documentation showing the role was eliminated.</t>
  </si>
  <si>
    <t xml:space="preserve">Related-party rent above market</t>
  </si>
  <si>
    <t xml:space="preserve">Only the spread over a market rent benchmark.</t>
  </si>
  <si>
    <t xml:space="preserve">One-time inventory write-down on a discontinued line</t>
  </si>
  <si>
    <t xml:space="preserve">Split</t>
  </si>
  <si>
    <t xml:space="preserve">The one-time portion survives. A recurring obsolescence pattern gets rejected.</t>
  </si>
  <si>
    <t xml:space="preserve">Marketing and brand investment you call 'one time'</t>
  </si>
  <si>
    <t xml:space="preserve">REJECTED</t>
  </si>
  <si>
    <t xml:space="preserve">REJECTED. It looks recurring under examination. Buyers keep this one.</t>
  </si>
  <si>
    <t xml:space="preserve">Customer acquisition costs</t>
  </si>
  <si>
    <t xml:space="preserve">REJECTED. CAC is what it costs to run a DTC brand.</t>
  </si>
  <si>
    <t xml:space="preserve">Recurring capex, bonuses, sales commissions, business travel</t>
  </si>
  <si>
    <t xml:space="preserve">REJECTED. All four are on the standard rejected list.</t>
  </si>
  <si>
    <t xml:space="preserve">Total accepted add-backs</t>
  </si>
  <si>
    <t xml:space="preserve">Total rejected (type them in to see what you're losing)</t>
  </si>
  <si>
    <t xml:space="preserve">ADJUSTED EBITDA</t>
  </si>
  <si>
    <t xml:space="preserve">The institutional number, used once the business runs without you.</t>
  </si>
  <si>
    <t xml:space="preserve">SELLER'S DISCRETIONARY EARNINGS (SDE)</t>
  </si>
  <si>
    <t xml:space="preserve">Adjusted EBITDA plus the replacement manager cost. The owner-operator number.</t>
  </si>
  <si>
    <t xml:space="preserve">Add-backs as % of adjusted EBITDA</t>
  </si>
  <si>
    <t xml:space="preserve">Roughly 29% is the benchmark across sale processes. Go much higher and expect a line-by-line fight.</t>
  </si>
  <si>
    <t xml:space="preserve">Value of every $100k of add-backs you can defend</t>
  </si>
  <si>
    <t xml:space="preserve">At your base multiple. Documentation is worth real money here.</t>
  </si>
  <si>
    <t xml:space="preserve">3.  MULTIPLE BUILDER  (which metric applies, and how many turns you earn)</t>
  </si>
  <si>
    <t xml:space="preserve">Test</t>
  </si>
  <si>
    <t xml:space="preserve">Effect (turns)</t>
  </si>
  <si>
    <t xml:space="preserve">Can the business run for 90 days without you? (Yes / No)</t>
  </si>
  <si>
    <t xml:space="preserve">Yes</t>
  </si>
  <si>
    <t xml:space="preserve">Owner dependence is the real trigger between SDE and EBITDA. The dollar threshold is a rule of thumb.</t>
  </si>
  <si>
    <t xml:space="preserve">Metric that applies to you</t>
  </si>
  <si>
    <t xml:space="preserve">Under $1M of earnings it's SDE. Over $2M it's EBITDA. In between, owner dependence decides.</t>
  </si>
  <si>
    <t xml:space="preserve">Earnings basis</t>
  </si>
  <si>
    <t xml:space="preserve">A 3.5x SDE quote and a 6x EBITDA quote aren't comparable. Different base.</t>
  </si>
  <si>
    <t xml:space="preserve">Starting band before levers</t>
  </si>
  <si>
    <t xml:space="preserve">Low</t>
  </si>
  <si>
    <t xml:space="preserve">Base</t>
  </si>
  <si>
    <t xml:space="preserve">High</t>
  </si>
  <si>
    <t xml:space="preserve">Source: see Benchmarks tab</t>
  </si>
  <si>
    <t xml:space="preserve">Base multiple for your metric and size</t>
  </si>
  <si>
    <t xml:space="preserve">SDE 2.0-4.0x. EBITDA 3.5-5.5x under $15M revenue, 4.5-7.5x to $30M, 6.0-10.0x above.</t>
  </si>
  <si>
    <t xml:space="preserve">Lever</t>
  </si>
  <si>
    <t xml:space="preserve">Why it moves</t>
  </si>
  <si>
    <t xml:space="preserve">TTM revenue growth rate</t>
  </si>
  <si>
    <t xml:space="preserve">15%+ growth earns half a turn to a full turn. A declining business gives up 1x to 1.5x.</t>
  </si>
  <si>
    <t xml:space="preserve">Gross margin  (pulled from Section 1)</t>
  </si>
  <si>
    <t xml:space="preserve">60%+ is beauty and wellness territory. More margin to market with, more durable revenue.</t>
  </si>
  <si>
    <t xml:space="preserve">EBITDA margin  (pulled from Section 1)</t>
  </si>
  <si>
    <t xml:space="preserve">20%+ EBITDA margin is the premium threshold.</t>
  </si>
  <si>
    <t xml:space="preserve">Largest single channel as % of revenue</t>
  </si>
  <si>
    <t xml:space="preserve">Above 70% and buyers price it as a dependency. Amazon-heavy trades 3-5x vs 4-6x diversified.</t>
  </si>
  <si>
    <t xml:space="preserve">Largest single customer or retailer as % of revenue</t>
  </si>
  <si>
    <t xml:space="preserve">One customer or channel above 25-30% of revenue cuts your multiple.</t>
  </si>
  <si>
    <t xml:space="preserve">12-month repeat purchase rate</t>
  </si>
  <si>
    <t xml:space="preserve">35%+ over 12 months is the premium benchmark for consumables and wellness.</t>
  </si>
  <si>
    <t xml:space="preserve">Email and SMS attributed revenue as % of total</t>
  </si>
  <si>
    <t xml:space="preserve">25%+ of revenue from owned channels, with clean flow data, reads as a moat.</t>
  </si>
  <si>
    <t xml:space="preserve">Sell-side quality of earnings completed? (Yes / No)</t>
  </si>
  <si>
    <t xml:space="preserve">No</t>
  </si>
  <si>
    <t xml:space="preserve">Sellers who ran their own QoE closed at 7.4x vs 7.0x across about 360 deals (GF Data).</t>
  </si>
  <si>
    <t xml:space="preserve">Total lever adjustment</t>
  </si>
  <si>
    <t xml:space="preserve">YOUR MULTIPLE</t>
  </si>
  <si>
    <t xml:space="preserve">4.  ENTERPRISE VALUE</t>
  </si>
  <si>
    <t xml:space="preserve">Multiple</t>
  </si>
  <si>
    <t xml:space="preserve">ENTERPRISE VALUE</t>
  </si>
  <si>
    <t xml:space="preserve">Implied revenue multiple</t>
  </si>
  <si>
    <t xml:space="preserve">Sanity check. Profitable DTC generally lands 1.5x to 4x revenue right now.</t>
  </si>
  <si>
    <t xml:space="preserve">5.  THE BRIDGE  (headline price vs. the check that actually clears)</t>
  </si>
  <si>
    <t xml:space="preserve">Enterprise value</t>
  </si>
  <si>
    <t xml:space="preserve">Less: funded debt repaid at close</t>
  </si>
  <si>
    <t xml:space="preserve">Deals price cash-free and debt-free, so every dollar of debt comes off your proceeds.</t>
  </si>
  <si>
    <t xml:space="preserve">Plus: cash delivered at close</t>
  </si>
  <si>
    <t xml:space="preserve">Less: working capital shortfall vs. the peg</t>
  </si>
  <si>
    <t xml:space="preserve">The peg is usually your TTM average net working capital. Shortfalls reduce price dollar for dollar.</t>
  </si>
  <si>
    <t xml:space="preserve">Less: inventory delivered below the agreed target</t>
  </si>
  <si>
    <t xml:space="preserve">Sellers who skip negotiating an inventory target in the LOI give up $100k to $500k here.</t>
  </si>
  <si>
    <t xml:space="preserve">EQUITY VALUE</t>
  </si>
  <si>
    <t xml:space="preserve">Less: sell-side advisor fee (% of enterprise value)</t>
  </si>
  <si>
    <t xml:space="preserve">Less: legal, QoE, accounting, tax structuring</t>
  </si>
  <si>
    <t xml:space="preserve">Largely fixed regardless of deal size, which is why they hurt small deals most. Scale this to your own situation.</t>
  </si>
  <si>
    <t xml:space="preserve">Less: escrow holdback (% of equity value)</t>
  </si>
  <si>
    <t xml:space="preserve">Yours in principle, but exposed to claims for 12 to 24 months.</t>
  </si>
  <si>
    <t xml:space="preserve">Less: rollover equity (% of equity value)</t>
  </si>
  <si>
    <t xml:space="preserve">Most $5M+ ecommerce deals include 15-30% earnout or rollover. Refusing outright kills most of your buyer pool.</t>
  </si>
  <si>
    <t xml:space="preserve">Less: earnout (% of equity value)</t>
  </si>
  <si>
    <t xml:space="preserve">CASH AT CLOSE</t>
  </si>
  <si>
    <t xml:space="preserve">Cash at close as % of headline enterprise value</t>
  </si>
  <si>
    <t xml:space="preserve">80%+ at closing is a strong structure. Under 60% and you're financing the buyer.</t>
  </si>
  <si>
    <t xml:space="preserve">What happens to the contingent money</t>
  </si>
  <si>
    <t xml:space="preserve">Earnout promised</t>
  </si>
  <si>
    <t xml:space="preserve">Earnout realistically collected</t>
  </si>
  <si>
    <t xml:space="preserve">Earnouts pay 21 cents on the dollar across all M&amp;A per the SRS Acquiom 2025 Deal Terms Study. 28% get contested.</t>
  </si>
  <si>
    <t xml:space="preserve">Escrow expected to be released</t>
  </si>
  <si>
    <t xml:space="preserve">Rollover equity carried at face value</t>
  </si>
  <si>
    <t xml:space="preserve">Illiquid, subordinate, and tied to the buyer's business rather than yours. Face value is optimistic.</t>
  </si>
  <si>
    <t xml:space="preserve">TOTAL EXPECTED PROCEEDS, PRE-TAX</t>
  </si>
  <si>
    <t xml:space="preserve">Less: estimated tax on proceeds</t>
  </si>
  <si>
    <t xml:space="preserve">Blended placeholder. Asset vs stock sale, QSBS, and your state all change this a lot. Talk to a tax advisor.</t>
  </si>
  <si>
    <t xml:space="preserve">NET TO YOU</t>
  </si>
  <si>
    <t xml:space="preserve">Net to you as % of the headline number you were quoted</t>
  </si>
  <si>
    <t xml:space="preserve">Compare this against the headline enterprise value in Section 4.</t>
  </si>
  <si>
    <t xml:space="preserve">6.  DECISION DASHBOARD</t>
  </si>
  <si>
    <t xml:space="preserve">You</t>
  </si>
  <si>
    <t xml:space="preserve">Benchmark</t>
  </si>
  <si>
    <t xml:space="preserve">Verdict</t>
  </si>
  <si>
    <t xml:space="preserve">What to do about it</t>
  </si>
  <si>
    <t xml:space="preserve">Gross margin</t>
  </si>
  <si>
    <t xml:space="preserve">50%+</t>
  </si>
  <si>
    <t xml:space="preserve">Below 50% limits what you can spend to acquire, which caps growth and caps your multiple.</t>
  </si>
  <si>
    <t xml:space="preserve">EBITDA margin</t>
  </si>
  <si>
    <t xml:space="preserve">20%+</t>
  </si>
  <si>
    <t xml:space="preserve">Under 10% and buyers price you as a turnaround regardless of revenue.</t>
  </si>
  <si>
    <t xml:space="preserve">Largest channel concentration</t>
  </si>
  <si>
    <t xml:space="preserve">Under 50%</t>
  </si>
  <si>
    <t xml:space="preserve">Above 70% is the most expensive line on this page. Fix it before you list.</t>
  </si>
  <si>
    <t xml:space="preserve">About 29%</t>
  </si>
  <si>
    <t xml:space="preserve">Go much above the benchmark and the buyer's QoE will contest the pile line by line.</t>
  </si>
  <si>
    <t xml:space="preserve">Cash at close as % of headline</t>
  </si>
  <si>
    <t xml:space="preserve">80%+</t>
  </si>
  <si>
    <t xml:space="preserve">Under 60% and the deal is mostly a promise. Push cash up before you push price up.</t>
  </si>
  <si>
    <t xml:space="preserve">Net to you as % of headline</t>
  </si>
  <si>
    <t xml:space="preserve">None exists</t>
  </si>
  <si>
    <t xml:space="preserve">There's no benchmark for this one. Most founders don't see the number until the deal is done.</t>
  </si>
  <si>
    <t xml:space="preserve">Built by Curtis Howland  |  curtishowland.com        Directional model for planning conversations. Not a valuation opinion, and not tax or legal advice.</t>
  </si>
  <si>
    <t xml:space="preserve">Cost of Capital Normalizer</t>
  </si>
  <si>
    <t xml:space="preserve">Flat fees, factor rates and APRs aren't on the same scale. This puts them there.</t>
  </si>
  <si>
    <t xml:space="preserve">A.  THE ONLY FORMULA THAT MATTERS</t>
  </si>
  <si>
    <t xml:space="preserve">APR  =  fee %  ÷  ( repayment days ÷ 365 )</t>
  </si>
  <si>
    <t xml:space="preserve">A 6% flat fee repaid in 4 months is 18% APR. The same 6% repaid in 2 months is 36% APR. Repaying faster makes a flat fee more expensive. Most providers quote you the fee and let you assume otherwise.</t>
  </si>
  <si>
    <t xml:space="preserve">B.  THE OFFER ON YOUR DESK</t>
  </si>
  <si>
    <t xml:space="preserve">Input</t>
  </si>
  <si>
    <t xml:space="preserve">Your number</t>
  </si>
  <si>
    <t xml:space="preserve">Advance / principal amount</t>
  </si>
  <si>
    <t xml:space="preserve">What actually lands in your account.</t>
  </si>
  <si>
    <t xml:space="preserve">Flat fee %  (or factor rate minus 1)</t>
  </si>
  <si>
    <t xml:space="preserve">A 1.12 factor rate is a 12% flat fee. Same thing, different brochure.</t>
  </si>
  <si>
    <t xml:space="preserve">Repayment method  (Revenue share / Fixed term)</t>
  </si>
  <si>
    <t xml:space="preserve">Revenue share</t>
  </si>
  <si>
    <t xml:space="preserve">Revenue share is a daily or weekly sweep. Fixed term is a set schedule.</t>
  </si>
  <si>
    <t xml:space="preserve">Your monthly revenue through the connected processor</t>
  </si>
  <si>
    <t xml:space="preserve">Only the revenue the sweep can see.</t>
  </si>
  <si>
    <t xml:space="preserve">Revenue share % swept</t>
  </si>
  <si>
    <t xml:space="preserve">Sweeps commonly run 10% to 50% of daily sales.</t>
  </si>
  <si>
    <t xml:space="preserve">Fixed term (months), if applicable</t>
  </si>
  <si>
    <t xml:space="preserve">Only used if you selected Fixed term above.</t>
  </si>
  <si>
    <t xml:space="preserve">Total amount repayable</t>
  </si>
  <si>
    <t xml:space="preserve">Principal plus fee. Flat fees have no early repayment discount.</t>
  </si>
  <si>
    <t xml:space="preserve">Total fee in dollars</t>
  </si>
  <si>
    <t xml:space="preserve">Monthly cash leaving the business</t>
  </si>
  <si>
    <t xml:space="preserve">Check this against your cash conversion cycle before you sign.</t>
  </si>
  <si>
    <t xml:space="preserve">Implied repayment period (days)</t>
  </si>
  <si>
    <t xml:space="preserve">The faster the sweep clears it, the worse your effective rate.</t>
  </si>
  <si>
    <t xml:space="preserve">Implied repayment period (months)</t>
  </si>
  <si>
    <t xml:space="preserve">EFFECTIVE APR</t>
  </si>
  <si>
    <t xml:space="preserve">C.  THE SAME MONEY, PRICED EVERY OTHER WAY</t>
  </si>
  <si>
    <t xml:space="preserve">Instrument</t>
  </si>
  <si>
    <t xml:space="preserve">Low APR</t>
  </si>
  <si>
    <t xml:space="preserve">High APR</t>
  </si>
  <si>
    <t xml:space="preserve">Midpoint</t>
  </si>
  <si>
    <t xml:space="preserve">Cost of your advance</t>
  </si>
  <si>
    <t xml:space="preserve">When it is the right tool</t>
  </si>
  <si>
    <t xml:space="preserve">Bank revolving line of credit</t>
  </si>
  <si>
    <t xml:space="preserve">Cheapest recurring inventory capital. Requires being bankable: clean books, covenants, history.</t>
  </si>
  <si>
    <t xml:space="preserve">Asset-based lending (ABL)</t>
  </si>
  <si>
    <t xml:space="preserve">Advances 50-60% on eligible inventory and 75-85% on A/R. Available around $5M+ revenue.</t>
  </si>
  <si>
    <t xml:space="preserve">Venture debt / term loan</t>
  </si>
  <si>
    <t xml:space="preserve">Cheaper than equity by a wide margin. Usually requires an institutional equity backer.</t>
  </si>
  <si>
    <t xml:space="preserve">Fintech inventory line</t>
  </si>
  <si>
    <t xml:space="preserve">Fast and collateral-light. Priced accordingly.</t>
  </si>
  <si>
    <t xml:space="preserve">Invoice factoring</t>
  </si>
  <si>
    <t xml:space="preserve">2-5% per invoice. Best fit at $1M-$20M with real wholesale receivables.</t>
  </si>
  <si>
    <t xml:space="preserve">Revenue-based financing / MCA</t>
  </si>
  <si>
    <t xml:space="preserve">Accessible with no collateral and no credit check. Effective APR commonly lands 25-70%.</t>
  </si>
  <si>
    <t xml:space="preserve">Purchase order financing</t>
  </si>
  <si>
    <t xml:space="preserve">Only for a confirmed creditworthy PO you could not otherwise fund. Needs 25%+ gross margin.</t>
  </si>
  <si>
    <t xml:space="preserve">Vendor credit / supplier terms</t>
  </si>
  <si>
    <t xml:space="preserve">Free, but rarely beyond 90 days and it won't scale to large orders.</t>
  </si>
  <si>
    <t xml:space="preserve">Equity</t>
  </si>
  <si>
    <t xml:space="preserve">The most expensive capital for recurring working capital needs, almost without exception.</t>
  </si>
  <si>
    <t xml:space="preserve">YOUR OFFER</t>
  </si>
  <si>
    <t xml:space="preserve">Your cost is the actual fee you pay. The rows above show what the same money costs elsewhere over the same period.</t>
  </si>
  <si>
    <t xml:space="preserve">Cheapest debt alternative in the table above</t>
  </si>
  <si>
    <t xml:space="preserve">Excludes vendor terms and equity. Assumes you would qualify, which is usually the catch.</t>
  </si>
  <si>
    <t xml:space="preserve">What speed and accessibility are costing you</t>
  </si>
  <si>
    <t xml:space="preserve">Sometimes worth paying. Worth knowing either way.</t>
  </si>
  <si>
    <t xml:space="preserve">D.  WHICH TOOL FITS YOUR STAGE</t>
  </si>
  <si>
    <t xml:space="preserve">Where you are</t>
  </si>
  <si>
    <t xml:space="preserve">What is actually available to you</t>
  </si>
  <si>
    <t xml:space="preserve">Under $500k revenue</t>
  </si>
  <si>
    <t xml:space="preserve">Founder capital, friends and family, vendor terms. RBF and factoring are either unavailable or not worth the cost at this size.</t>
  </si>
  <si>
    <t xml:space="preserve">$500k to $5M, mostly DTC</t>
  </si>
  <si>
    <t xml:space="preserve">Revenue-based financing for inventory restocks and marketing flexibility. Expensive relative to bank debt but accessible without assets or history.</t>
  </si>
  <si>
    <t xml:space="preserve">$1M to $20M with wholesale</t>
  </si>
  <si>
    <t xml:space="preserve">Invoice factoring on retailer receivables is usually the cheapest and most predictable option. PO financing for specific large orders.</t>
  </si>
  <si>
    <t xml:space="preserve">$5M+ with real inventory</t>
  </si>
  <si>
    <t xml:space="preserve">Traditional inventory lines and asset-based lending open up. Usually the cheapest debt available to you.</t>
  </si>
  <si>
    <t xml:space="preserve">Bankable</t>
  </si>
  <si>
    <t xml:space="preserve">Cost of capital drops sharply once you're here. Getting bankable fast is worth more than any single financing decision.</t>
  </si>
  <si>
    <t xml:space="preserve">Built by Curtis Howland  |  curtishowland.com        APR bands are market ranges as of mid-2026. Your actual terms will differ.</t>
  </si>
  <si>
    <t xml:space="preserve">Benchmarks &amp; Sources</t>
  </si>
  <si>
    <t xml:space="preserve">Every band in this model and where it came from. Multiples move, so check them before you quote them.</t>
  </si>
  <si>
    <t xml:space="preserve">VALUATION MULTIPLE BANDS</t>
  </si>
  <si>
    <t xml:space="preserve">Segment</t>
  </si>
  <si>
    <t xml:space="preserve">Metric</t>
  </si>
  <si>
    <t xml:space="preserve">Range</t>
  </si>
  <si>
    <t xml:space="preserve">Source</t>
  </si>
  <si>
    <t xml:space="preserve">Sub-$1M revenue</t>
  </si>
  <si>
    <t xml:space="preserve">TTM revenue</t>
  </si>
  <si>
    <t xml:space="preserve">0.5x to 1.5x</t>
  </si>
  <si>
    <t xml:space="preserve">CT Acquisitions, Ecommerce Business Valuation 2026</t>
  </si>
  <si>
    <t xml:space="preserve">Small owner-operated</t>
  </si>
  <si>
    <t xml:space="preserve">SDE</t>
  </si>
  <si>
    <t xml:space="preserve">2.0x to 4.0x</t>
  </si>
  <si>
    <t xml:space="preserve">FE International transaction data, 2026</t>
  </si>
  <si>
    <t xml:space="preserve">All small ecommerce (reality check)</t>
  </si>
  <si>
    <t xml:space="preserve">Earnings</t>
  </si>
  <si>
    <t xml:space="preserve">3.43x median</t>
  </si>
  <si>
    <t xml:space="preserve">BizBuySell, Websites &amp; Ecommerce, through Q4 2025. A marketplace median across closed deals.</t>
  </si>
  <si>
    <t xml:space="preserve">$5M to $15M revenue</t>
  </si>
  <si>
    <t xml:space="preserve">Adjusted EBITDA</t>
  </si>
  <si>
    <t xml:space="preserve">3.5x to 5.5x</t>
  </si>
  <si>
    <t xml:space="preserve">Eightx synthesis of 2026 advisor matrices</t>
  </si>
  <si>
    <t xml:space="preserve">$15M to $30M revenue</t>
  </si>
  <si>
    <t xml:space="preserve">4.5x to 7.5x</t>
  </si>
  <si>
    <t xml:space="preserve">Eightx, cross-checked vs Windsor Drake and CT Acquisitions</t>
  </si>
  <si>
    <t xml:space="preserve">$30M+ revenue</t>
  </si>
  <si>
    <t xml:space="preserve">6.0x to 10.0x+</t>
  </si>
  <si>
    <t xml:space="preserve">Eightx; larger deals cleared roughly 10x in 2025 with strategics driving volume</t>
  </si>
  <si>
    <t xml:space="preserve">Amazon-heavy</t>
  </si>
  <si>
    <t xml:space="preserve">3.0x to 5.0x</t>
  </si>
  <si>
    <t xml:space="preserve">Windsor Drake, E-commerce Business Valuation 2026</t>
  </si>
  <si>
    <t xml:space="preserve">Diversified DTC</t>
  </si>
  <si>
    <t xml:space="preserve">4.0x to 6.0x</t>
  </si>
  <si>
    <t xml:space="preserve">Windsor Drake</t>
  </si>
  <si>
    <t xml:space="preserve">Public ecommerce comps</t>
  </si>
  <si>
    <t xml:space="preserve">EBITDA</t>
  </si>
  <si>
    <t xml:space="preserve">~12.6x average</t>
  </si>
  <si>
    <t xml:space="preserve">FE International. The ceiling private valuations trend toward at scale.</t>
  </si>
  <si>
    <t xml:space="preserve">WHAT MOVES THE MULTIPLE</t>
  </si>
  <si>
    <t xml:space="preserve">Premium threshold</t>
  </si>
  <si>
    <t xml:space="preserve">Discount threshold</t>
  </si>
  <si>
    <t xml:space="preserve">Revenue growth</t>
  </si>
  <si>
    <t xml:space="preserve">15%+ TTM  (+0.5x to +1x)</t>
  </si>
  <si>
    <t xml:space="preserve">Declining  (-1x to -1.5x)</t>
  </si>
  <si>
    <t xml:space="preserve">EcomSwap, DTC Brand Valuation 2026</t>
  </si>
  <si>
    <t xml:space="preserve">60%+</t>
  </si>
  <si>
    <t xml:space="preserve">Under 40%</t>
  </si>
  <si>
    <t xml:space="preserve">Windsor Drake; Eightx</t>
  </si>
  <si>
    <t xml:space="preserve">Under 10%</t>
  </si>
  <si>
    <t xml:space="preserve">Eightx, How Ecommerce Brands Are Valued 2026</t>
  </si>
  <si>
    <t xml:space="preserve">Channel concentration</t>
  </si>
  <si>
    <t xml:space="preserve">Under 40% single channel</t>
  </si>
  <si>
    <t xml:space="preserve">Above 70%</t>
  </si>
  <si>
    <t xml:space="preserve">Eightx; Level CFO 2026 benchmarks</t>
  </si>
  <si>
    <t xml:space="preserve">Customer concentration</t>
  </si>
  <si>
    <t xml:space="preserve">Under 25%</t>
  </si>
  <si>
    <t xml:space="preserve">Above 25% to 30%</t>
  </si>
  <si>
    <t xml:space="preserve">Eightx</t>
  </si>
  <si>
    <t xml:space="preserve">12-month repeat rate</t>
  </si>
  <si>
    <t xml:space="preserve">35%+</t>
  </si>
  <si>
    <t xml:space="preserve">Under 20%</t>
  </si>
  <si>
    <t xml:space="preserve">EcomSwap, 2026 DTC premium benchmarks</t>
  </si>
  <si>
    <t xml:space="preserve">Email/SMS attributed revenue</t>
  </si>
  <si>
    <t xml:space="preserve">25%+ of total</t>
  </si>
  <si>
    <t xml:space="preserve">n/a</t>
  </si>
  <si>
    <t xml:space="preserve">EcomSwap</t>
  </si>
  <si>
    <t xml:space="preserve">Sell-side QoE</t>
  </si>
  <si>
    <t xml:space="preserve">7.4x vs 7.0x</t>
  </si>
  <si>
    <t xml:space="preserve">GF Data, ~360 middle-market deals, via Eightx</t>
  </si>
  <si>
    <t xml:space="preserve">Owner dependence</t>
  </si>
  <si>
    <t xml:space="preserve">Runs without you</t>
  </si>
  <si>
    <t xml:space="preserve">Functionally unsellable above 1.5x to 2.0x SDE</t>
  </si>
  <si>
    <t xml:space="preserve">East Coast Advisory, 2026</t>
  </si>
  <si>
    <t xml:space="preserve">ADD-BACKS: WHAT SURVIVES QUALITY OF EARNINGS</t>
  </si>
  <si>
    <t xml:space="preserve">Rejected</t>
  </si>
  <si>
    <t xml:space="preserve">Note</t>
  </si>
  <si>
    <t xml:space="preserve">Excess owner compensation above market</t>
  </si>
  <si>
    <t xml:space="preserve">Normal recurring capex</t>
  </si>
  <si>
    <t xml:space="preserve">Owner perks and personal expenses</t>
  </si>
  <si>
    <t xml:space="preserve">Marketing investment</t>
  </si>
  <si>
    <t xml:space="preserve">One-time professional fees</t>
  </si>
  <si>
    <t xml:space="preserve">Working capital changes</t>
  </si>
  <si>
    <t xml:space="preserve">Family wages above market</t>
  </si>
  <si>
    <t xml:space="preserve">Recurring legal counsel</t>
  </si>
  <si>
    <t xml:space="preserve">Severance</t>
  </si>
  <si>
    <t xml:space="preserve">Sales commissions</t>
  </si>
  <si>
    <t xml:space="preserve">M&amp;A transaction costs</t>
  </si>
  <si>
    <t xml:space="preserve">Employee bonuses</t>
  </si>
  <si>
    <t xml:space="preserve">Asset write-downs</t>
  </si>
  <si>
    <t xml:space="preserve">Business travel and entertainment</t>
  </si>
  <si>
    <t xml:space="preserve">Settled litigation</t>
  </si>
  <si>
    <t xml:space="preserve">Discontinued operations</t>
  </si>
  <si>
    <t xml:space="preserve">Accelerated depreciation</t>
  </si>
  <si>
    <t xml:space="preserve">Deferred capex normalization</t>
  </si>
  <si>
    <t xml:space="preserve">Add-backs average ~29% of adjusted EBITDA</t>
  </si>
  <si>
    <t xml:space="preserve">At a 6x multiple, every $100k accepted is $600k of value</t>
  </si>
  <si>
    <t xml:space="preserve">Source: Eightx / DealStats via CT Acquisitions, 2026. Owner add-back disputes are the number one reason LOIs re-trade.</t>
  </si>
  <si>
    <t xml:space="preserve">DEAL STRUCTURE REALITY</t>
  </si>
  <si>
    <t xml:space="preserve">Item</t>
  </si>
  <si>
    <t xml:space="preserve">Earnout dollars actually paid</t>
  </si>
  <si>
    <t xml:space="preserve">21 cents on the dollar</t>
  </si>
  <si>
    <t xml:space="preserve">SRS Acquiom 2025 Deal Terms Study. 79% never get paid, 28% get contested.</t>
  </si>
  <si>
    <t xml:space="preserve">Earnout or rollover in $5M+ ecommerce deals</t>
  </si>
  <si>
    <t xml:space="preserve">15% to 30% of consideration</t>
  </si>
  <si>
    <t xml:space="preserve">CT Acquisitions. Refusing outright kills 60-70% of your buyer pool.</t>
  </si>
  <si>
    <t xml:space="preserve">Strong structure</t>
  </si>
  <si>
    <t xml:space="preserve">80%+ of consideration in cash at closing</t>
  </si>
  <si>
    <t xml:space="preserve">Mid Mkt Advisors, M&amp;A Deal Terms</t>
  </si>
  <si>
    <t xml:space="preserve">Weaker structure</t>
  </si>
  <si>
    <t xml:space="preserve">60% to 79% at closing</t>
  </si>
  <si>
    <t xml:space="preserve">Mid Mkt Advisors</t>
  </si>
  <si>
    <t xml:space="preserve">Working capital peg</t>
  </si>
  <si>
    <t xml:space="preserve">Typically TTM average net working capital</t>
  </si>
  <si>
    <t xml:space="preserve">CT Acquisitions. Shortfall reduces price dollar for dollar.</t>
  </si>
  <si>
    <t xml:space="preserve">Inventory target left unnegotiated</t>
  </si>
  <si>
    <t xml:space="preserve">Costs sellers $100k to $500k</t>
  </si>
  <si>
    <t xml:space="preserve">CT Acquisitions</t>
  </si>
  <si>
    <t xml:space="preserve">Cash conversion cycle, US suppliers</t>
  </si>
  <si>
    <t xml:space="preserve">30 to 60 days</t>
  </si>
  <si>
    <t xml:space="preserve">Cash conversion cycle, Asia sourcing</t>
  </si>
  <si>
    <t xml:space="preserve">120+ days</t>
  </si>
  <si>
    <t xml:space="preserve">CT Acquisitions. Buyers treat this as working capital intensity.</t>
  </si>
  <si>
    <t xml:space="preserve">COST OF CAPITAL BANDS</t>
  </si>
  <si>
    <t xml:space="preserve">Headline pricing</t>
  </si>
  <si>
    <t xml:space="preserve">Effective APR</t>
  </si>
  <si>
    <t xml:space="preserve">Bank revolver</t>
  </si>
  <si>
    <t xml:space="preserve">7% to 10%</t>
  </si>
  <si>
    <t xml:space="preserve">Eightx global DTC cost of capital tracker, 2026</t>
  </si>
  <si>
    <t xml:space="preserve">Asset-based lending</t>
  </si>
  <si>
    <t xml:space="preserve">50-60% adv. on inventory, 75-85% on A/R</t>
  </si>
  <si>
    <t xml:space="preserve">7% to 15%</t>
  </si>
  <si>
    <t xml:space="preserve">Eightx, Inventory Financing for DTC Brands</t>
  </si>
  <si>
    <t xml:space="preserve">15% to 30%</t>
  </si>
  <si>
    <t xml:space="preserve">Revenue-based financing</t>
  </si>
  <si>
    <t xml:space="preserve">2% to 12% flat fee</t>
  </si>
  <si>
    <t xml:space="preserve">15% to 70%</t>
  </si>
  <si>
    <t xml:space="preserve">Wayflyer quotes 2-8%; Clearco 6-14%. Luca and Trustpilot users report 25-70% annualized.</t>
  </si>
  <si>
    <t xml:space="preserve">2% to 5% per invoice</t>
  </si>
  <si>
    <t xml:space="preserve">20% to 60%</t>
  </si>
  <si>
    <t xml:space="preserve">Luca, 7 Types of Inventory Financing</t>
  </si>
  <si>
    <t xml:space="preserve">PO financing</t>
  </si>
  <si>
    <t xml:space="preserve">~30% to 45%</t>
  </si>
  <si>
    <t xml:space="preserve">Eightx. Requires 25%+ gross margin and a confirmed creditworthy PO.</t>
  </si>
  <si>
    <t xml:space="preserve">~30% implied</t>
  </si>
  <si>
    <t xml:space="preserve">Eightx. Estimate of investor required return, not a cash coupon.</t>
  </si>
  <si>
    <t xml:space="preserve">HOW TO USE THIS</t>
  </si>
  <si>
    <t xml:space="preserve">1.  Fill in Section 1 from your P&amp;L. Use trailing twelve months, not your best twelve months.</t>
  </si>
  <si>
    <t xml:space="preserve">2.  Be honest in Section 2. Any add-back you can't document gets stripped in diligence and re-trades the deal.</t>
  </si>
  <si>
    <t xml:space="preserve">3.  Section 3 is where your media metrics turn into money. Channel concentration and repeat rate are worth more turns than most founders expect.</t>
  </si>
  <si>
    <t xml:space="preserve">4.  Section 5 is the one most people have never run. Compare the Low column against the headline in Section 4.</t>
  </si>
  <si>
    <t xml:space="preserve">5.  The Cost of Capital tab works on its own. Run it against any offer before you sign, especially anything quoted as a flat fee.</t>
  </si>
  <si>
    <t xml:space="preserve">Directional model for planning conversations. Not a valuation opinion, and not tax or legal advice. Sources current as of July 2026.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</si>
</sst>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;\-"/>
    <numFmt numFmtId="166" formatCode="0.0%;\(0.0%\);\-"/>
    <numFmt numFmtId="167" formatCode="0.00\x"/>
    <numFmt numFmtId="168" formatCode="0"/>
    <numFmt numFmtId="169" formatCode="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8E2EF"/>
      <name val="Arial"/>
      <family val="0"/>
      <charset val="1"/>
    </font>
    <font>
      <i val="true"/>
      <sz val="9"/>
      <color rgb="FF5A6B7D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1B2A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B7D"/>
      <name val="Arial"/>
      <family val="0"/>
      <charset val="1"/>
    </font>
    <font>
      <b val="true"/>
      <sz val="10"/>
      <name val="Arial"/>
      <family val="0"/>
      <charset val="1"/>
    </font>
    <font>
      <strike val="true"/>
      <sz val="10"/>
      <color rgb="FF0000FF"/>
      <name val="Arial"/>
      <family val="0"/>
      <charset val="1"/>
    </font>
    <font>
      <b val="true"/>
      <sz val="10"/>
      <color rgb="FFB03030"/>
      <name val="Arial"/>
      <family val="0"/>
      <charset val="1"/>
    </font>
    <font>
      <b val="true"/>
      <sz val="14"/>
      <color rgb="FF1B2A4A"/>
      <name val="Arial"/>
      <family val="0"/>
      <charset val="1"/>
    </font>
    <font>
      <b val="true"/>
      <sz val="12"/>
      <color rgb="FFB03030"/>
      <name val="Arial"/>
      <family val="0"/>
      <charset val="1"/>
    </font>
    <font>
      <b val="true"/>
      <sz val="9"/>
      <color rgb="FFB0303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2E5C8A"/>
        <bgColor rgb="FF5A6B7D"/>
      </patternFill>
    </fill>
    <fill>
      <patternFill patternType="solid">
        <fgColor rgb="FFDCE5F0"/>
        <bgColor rgb="FFD8E2EF"/>
      </patternFill>
    </fill>
    <fill>
      <patternFill patternType="solid">
        <fgColor rgb="FFFFF2CC"/>
        <bgColor rgb="FFEDF2F7"/>
      </patternFill>
    </fill>
    <fill>
      <patternFill patternType="solid">
        <fgColor rgb="FFEDF2F7"/>
        <bgColor rgb="FFDCE5F0"/>
      </patternFill>
    </fill>
    <fill>
      <patternFill patternType="solid">
        <fgColor rgb="FFFFFF00"/>
        <bgColor rgb="FFFFFF00"/>
      </patternFill>
    </fill>
    <fill>
      <patternFill patternType="solid">
        <fgColor rgb="FFD6E9D5"/>
        <bgColor rgb="FFDCE5F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rgb="FF9AA9B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8" fillId="4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1" shrinkToFit="false"/>
      <protection locked="true" hidden="false"/>
    </xf>
    <xf numFmtId="165" fontId="10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1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1" shrinkToFit="false"/>
      <protection locked="true" hidden="false"/>
    </xf>
    <xf numFmtId="165" fontId="12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2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0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3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5" fontId="12" fillId="8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2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12" fillId="8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0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1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1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8" fontId="10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8" fontId="12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12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6" fontId="16" fillId="8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1" shrinkToFit="false"/>
      <protection locked="true" hidden="false"/>
    </xf>
    <xf numFmtId="166" fontId="14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4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F2F7"/>
      <rgbColor rgb="FF660066"/>
      <rgbColor rgb="FFFF8080"/>
      <rgbColor rgb="FF0066CC"/>
      <rgbColor rgb="FFD8E2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5F0"/>
      <rgbColor rgb="FFD6E9D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7D"/>
      <rgbColor rgb="FF9AA9B8"/>
      <rgbColor rgb="FF003366"/>
      <rgbColor rgb="FF339966"/>
      <rgbColor rgb="FF003300"/>
      <rgbColor rgb="FF333300"/>
      <rgbColor rgb="FFB03030"/>
      <rgbColor rgb="FF993366"/>
      <rgbColor rgb="FF2E5C8A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8"/>
    <col collapsed="false" customWidth="true" hidden="false" outlineLevel="0" max="2" min="2" style="1" width="15"/>
    <col collapsed="false" customWidth="true" hidden="false" outlineLevel="0" max="5" min="3" style="1" width="14"/>
    <col collapsed="false" customWidth="true" hidden="false" outlineLevel="0" max="6" min="6" style="1" width="2"/>
    <col collapsed="false" customWidth="true" hidden="false" outlineLevel="0" max="7" min="7" style="1" width="72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</row>
    <row r="5" customFormat="false" ht="19.5" hidden="false" customHeight="true" outlineLevel="0" collapsed="false">
      <c r="A5" s="5" t="s">
        <v>3</v>
      </c>
      <c r="B5" s="5"/>
      <c r="C5" s="5"/>
      <c r="D5" s="5"/>
      <c r="E5" s="5"/>
      <c r="F5" s="5"/>
      <c r="G5" s="5"/>
    </row>
    <row r="6" customFormat="false" ht="15" hidden="false" customHeight="false" outlineLevel="0" collapsed="false">
      <c r="A6" s="6" t="s">
        <v>4</v>
      </c>
      <c r="B6" s="7" t="s">
        <v>5</v>
      </c>
      <c r="C6" s="8"/>
      <c r="D6" s="8"/>
      <c r="E6" s="8"/>
      <c r="G6" s="7" t="s">
        <v>6</v>
      </c>
    </row>
    <row r="7" customFormat="false" ht="15" hidden="false" customHeight="false" outlineLevel="0" collapsed="false">
      <c r="A7" s="9" t="s">
        <v>7</v>
      </c>
      <c r="B7" s="10" t="n">
        <v>12000000</v>
      </c>
      <c r="G7" s="11" t="s">
        <v>8</v>
      </c>
    </row>
    <row r="8" customFormat="false" ht="15" hidden="false" customHeight="false" outlineLevel="0" collapsed="false">
      <c r="A8" s="9" t="s">
        <v>9</v>
      </c>
      <c r="B8" s="10" t="n">
        <v>4320000</v>
      </c>
      <c r="G8" s="11" t="s">
        <v>10</v>
      </c>
    </row>
    <row r="9" customFormat="false" ht="15" hidden="false" customHeight="false" outlineLevel="0" collapsed="false">
      <c r="A9" s="12" t="s">
        <v>11</v>
      </c>
      <c r="B9" s="13" t="n">
        <f aca="false">B7-B8</f>
        <v>7680000</v>
      </c>
    </row>
    <row r="10" customFormat="false" ht="15" hidden="false" customHeight="false" outlineLevel="0" collapsed="false">
      <c r="A10" s="12" t="s">
        <v>12</v>
      </c>
      <c r="B10" s="14" t="n">
        <f aca="false">IFERROR(B9/B7,0)</f>
        <v>0.64</v>
      </c>
      <c r="G10" s="11" t="s">
        <v>13</v>
      </c>
    </row>
    <row r="11" customFormat="false" ht="15" hidden="false" customHeight="false" outlineLevel="0" collapsed="false">
      <c r="A11" s="9" t="s">
        <v>14</v>
      </c>
      <c r="B11" s="10" t="n">
        <v>2880000</v>
      </c>
    </row>
    <row r="12" customFormat="false" ht="15" hidden="false" customHeight="false" outlineLevel="0" collapsed="false">
      <c r="A12" s="9" t="s">
        <v>15</v>
      </c>
      <c r="B12" s="10" t="n">
        <v>1560000</v>
      </c>
    </row>
    <row r="13" customFormat="false" ht="15" hidden="false" customHeight="false" outlineLevel="0" collapsed="false">
      <c r="A13" s="9" t="s">
        <v>16</v>
      </c>
      <c r="B13" s="10" t="n">
        <v>1140000</v>
      </c>
    </row>
    <row r="14" customFormat="false" ht="15" hidden="false" customHeight="false" outlineLevel="0" collapsed="false">
      <c r="A14" s="9" t="s">
        <v>17</v>
      </c>
      <c r="B14" s="10" t="n">
        <v>250000</v>
      </c>
      <c r="G14" s="11" t="s">
        <v>18</v>
      </c>
    </row>
    <row r="15" customFormat="false" ht="15" hidden="false" customHeight="false" outlineLevel="0" collapsed="false">
      <c r="A15" s="9" t="s">
        <v>19</v>
      </c>
      <c r="B15" s="10" t="n">
        <v>350000</v>
      </c>
      <c r="G15" s="11" t="s">
        <v>20</v>
      </c>
    </row>
    <row r="16" customFormat="false" ht="15" hidden="false" customHeight="false" outlineLevel="0" collapsed="false">
      <c r="A16" s="9" t="s">
        <v>21</v>
      </c>
      <c r="B16" s="10" t="n">
        <v>60000</v>
      </c>
    </row>
    <row r="17" customFormat="false" ht="15" hidden="false" customHeight="false" outlineLevel="0" collapsed="false">
      <c r="A17" s="12" t="s">
        <v>22</v>
      </c>
      <c r="B17" s="13" t="n">
        <f aca="false">B9-B11-B12-B13-B14-B15</f>
        <v>1500000</v>
      </c>
    </row>
    <row r="18" customFormat="false" ht="15" hidden="false" customHeight="false" outlineLevel="0" collapsed="false">
      <c r="A18" s="12" t="s">
        <v>23</v>
      </c>
      <c r="B18" s="13" t="n">
        <f aca="false">B17+B16</f>
        <v>1560000</v>
      </c>
      <c r="G18" s="11" t="s">
        <v>24</v>
      </c>
    </row>
    <row r="19" customFormat="false" ht="15" hidden="false" customHeight="false" outlineLevel="0" collapsed="false">
      <c r="A19" s="12" t="s">
        <v>25</v>
      </c>
      <c r="B19" s="14" t="n">
        <f aca="false">IFERROR(B18/B7,0)</f>
        <v>0.13</v>
      </c>
      <c r="G19" s="11" t="s">
        <v>26</v>
      </c>
    </row>
    <row r="21" customFormat="false" ht="19.5" hidden="false" customHeight="true" outlineLevel="0" collapsed="false">
      <c r="A21" s="5" t="s">
        <v>27</v>
      </c>
      <c r="B21" s="5"/>
      <c r="C21" s="5"/>
      <c r="D21" s="5"/>
      <c r="E21" s="5"/>
      <c r="F21" s="5"/>
      <c r="G21" s="5"/>
    </row>
    <row r="22" customFormat="false" ht="15" hidden="false" customHeight="false" outlineLevel="0" collapsed="false">
      <c r="A22" s="6" t="s">
        <v>28</v>
      </c>
      <c r="B22" s="7" t="s">
        <v>29</v>
      </c>
      <c r="C22" s="7" t="s">
        <v>30</v>
      </c>
      <c r="D22" s="8"/>
      <c r="E22" s="8"/>
      <c r="G22" s="7" t="s">
        <v>6</v>
      </c>
    </row>
    <row r="23" customFormat="false" ht="15" hidden="false" customHeight="false" outlineLevel="0" collapsed="false">
      <c r="A23" s="9" t="s">
        <v>31</v>
      </c>
      <c r="B23" s="15" t="n">
        <v>185000</v>
      </c>
      <c r="C23" s="16" t="s">
        <v>32</v>
      </c>
      <c r="G23" s="11" t="s">
        <v>33</v>
      </c>
    </row>
    <row r="24" customFormat="false" ht="15" hidden="false" customHeight="false" outlineLevel="0" collapsed="false">
      <c r="A24" s="9" t="s">
        <v>34</v>
      </c>
      <c r="B24" s="17" t="n">
        <f aca="false">MAX(0,B15-B23)</f>
        <v>165000</v>
      </c>
      <c r="C24" s="18" t="s">
        <v>35</v>
      </c>
      <c r="G24" s="11" t="s">
        <v>36</v>
      </c>
    </row>
    <row r="25" customFormat="false" ht="15" hidden="false" customHeight="false" outlineLevel="0" collapsed="false">
      <c r="A25" s="9" t="s">
        <v>37</v>
      </c>
      <c r="B25" s="10" t="n">
        <v>42000</v>
      </c>
      <c r="C25" s="18" t="s">
        <v>35</v>
      </c>
      <c r="G25" s="11" t="s">
        <v>38</v>
      </c>
    </row>
    <row r="26" customFormat="false" ht="15" hidden="false" customHeight="false" outlineLevel="0" collapsed="false">
      <c r="A26" s="9" t="s">
        <v>39</v>
      </c>
      <c r="B26" s="10" t="n">
        <v>35000</v>
      </c>
      <c r="C26" s="18" t="s">
        <v>35</v>
      </c>
      <c r="G26" s="11" t="s">
        <v>40</v>
      </c>
    </row>
    <row r="27" customFormat="false" ht="15" hidden="false" customHeight="false" outlineLevel="0" collapsed="false">
      <c r="A27" s="9" t="s">
        <v>41</v>
      </c>
      <c r="B27" s="10" t="n">
        <v>0</v>
      </c>
      <c r="C27" s="18" t="s">
        <v>35</v>
      </c>
      <c r="G27" s="11" t="s">
        <v>42</v>
      </c>
    </row>
    <row r="28" customFormat="false" ht="15" hidden="false" customHeight="false" outlineLevel="0" collapsed="false">
      <c r="A28" s="9" t="s">
        <v>43</v>
      </c>
      <c r="B28" s="10" t="n">
        <v>18000</v>
      </c>
      <c r="C28" s="18" t="s">
        <v>35</v>
      </c>
      <c r="G28" s="11" t="s">
        <v>44</v>
      </c>
    </row>
    <row r="29" customFormat="false" ht="15" hidden="false" customHeight="false" outlineLevel="0" collapsed="false">
      <c r="A29" s="9" t="s">
        <v>45</v>
      </c>
      <c r="B29" s="10" t="n">
        <v>0</v>
      </c>
      <c r="C29" s="18" t="s">
        <v>35</v>
      </c>
      <c r="G29" s="11" t="s">
        <v>46</v>
      </c>
    </row>
    <row r="30" customFormat="false" ht="15" hidden="false" customHeight="false" outlineLevel="0" collapsed="false">
      <c r="A30" s="9" t="s">
        <v>47</v>
      </c>
      <c r="B30" s="10" t="n">
        <v>25000</v>
      </c>
      <c r="C30" s="18" t="s">
        <v>48</v>
      </c>
      <c r="G30" s="11" t="s">
        <v>49</v>
      </c>
    </row>
    <row r="31" customFormat="false" ht="15" hidden="false" customHeight="false" outlineLevel="0" collapsed="false">
      <c r="A31" s="9" t="s">
        <v>50</v>
      </c>
      <c r="B31" s="19" t="n">
        <v>0</v>
      </c>
      <c r="C31" s="20" t="s">
        <v>51</v>
      </c>
      <c r="G31" s="11" t="s">
        <v>52</v>
      </c>
    </row>
    <row r="32" customFormat="false" ht="15" hidden="false" customHeight="false" outlineLevel="0" collapsed="false">
      <c r="A32" s="9" t="s">
        <v>53</v>
      </c>
      <c r="B32" s="19" t="n">
        <v>0</v>
      </c>
      <c r="C32" s="20" t="s">
        <v>51</v>
      </c>
      <c r="G32" s="11" t="s">
        <v>54</v>
      </c>
    </row>
    <row r="33" customFormat="false" ht="15" hidden="false" customHeight="false" outlineLevel="0" collapsed="false">
      <c r="A33" s="9" t="s">
        <v>55</v>
      </c>
      <c r="B33" s="19" t="n">
        <v>0</v>
      </c>
      <c r="C33" s="20" t="s">
        <v>51</v>
      </c>
      <c r="G33" s="11" t="s">
        <v>56</v>
      </c>
    </row>
    <row r="34" customFormat="false" ht="15" hidden="false" customHeight="false" outlineLevel="0" collapsed="false">
      <c r="A34" s="21" t="s">
        <v>57</v>
      </c>
      <c r="B34" s="13" t="n">
        <f aca="false">SUM(B24:B30)</f>
        <v>285000</v>
      </c>
    </row>
    <row r="35" customFormat="false" ht="15" hidden="false" customHeight="false" outlineLevel="0" collapsed="false">
      <c r="A35" s="12" t="s">
        <v>58</v>
      </c>
      <c r="B35" s="13" t="n">
        <f aca="false">SUM(B31:B33)</f>
        <v>0</v>
      </c>
    </row>
    <row r="36" customFormat="false" ht="15" hidden="false" customHeight="false" outlineLevel="0" collapsed="false">
      <c r="A36" s="12" t="s">
        <v>59</v>
      </c>
      <c r="B36" s="22" t="n">
        <f aca="false">B18+B34</f>
        <v>1845000</v>
      </c>
      <c r="G36" s="11" t="s">
        <v>60</v>
      </c>
    </row>
    <row r="37" customFormat="false" ht="15" hidden="false" customHeight="false" outlineLevel="0" collapsed="false">
      <c r="A37" s="12" t="s">
        <v>61</v>
      </c>
      <c r="B37" s="22" t="n">
        <f aca="false">B36+B23</f>
        <v>2030000</v>
      </c>
      <c r="G37" s="11" t="s">
        <v>62</v>
      </c>
    </row>
    <row r="38" customFormat="false" ht="15" hidden="false" customHeight="false" outlineLevel="0" collapsed="false">
      <c r="A38" s="9" t="s">
        <v>63</v>
      </c>
      <c r="B38" s="23" t="n">
        <f aca="false">IFERROR(B34/B36,0)</f>
        <v>0.154471544715447</v>
      </c>
      <c r="G38" s="11" t="s">
        <v>64</v>
      </c>
    </row>
    <row r="39" customFormat="false" ht="15" hidden="false" customHeight="false" outlineLevel="0" collapsed="false">
      <c r="A39" s="9" t="s">
        <v>65</v>
      </c>
      <c r="B39" s="17" t="n">
        <f aca="false">100000*D60</f>
        <v>525000</v>
      </c>
      <c r="G39" s="11" t="s">
        <v>66</v>
      </c>
    </row>
    <row r="41" customFormat="false" ht="19.5" hidden="false" customHeight="true" outlineLevel="0" collapsed="false">
      <c r="A41" s="5" t="s">
        <v>67</v>
      </c>
      <c r="B41" s="5"/>
      <c r="C41" s="5"/>
      <c r="D41" s="5"/>
      <c r="E41" s="5"/>
      <c r="F41" s="5"/>
      <c r="G41" s="5"/>
    </row>
    <row r="42" customFormat="false" ht="15" hidden="false" customHeight="false" outlineLevel="0" collapsed="false">
      <c r="A42" s="6" t="s">
        <v>68</v>
      </c>
      <c r="B42" s="7" t="s">
        <v>5</v>
      </c>
      <c r="C42" s="7" t="s">
        <v>69</v>
      </c>
      <c r="D42" s="8"/>
      <c r="E42" s="8"/>
      <c r="G42" s="7" t="s">
        <v>6</v>
      </c>
    </row>
    <row r="43" customFormat="false" ht="15" hidden="false" customHeight="false" outlineLevel="0" collapsed="false">
      <c r="A43" s="9" t="s">
        <v>70</v>
      </c>
      <c r="B43" s="24" t="s">
        <v>71</v>
      </c>
      <c r="G43" s="11" t="s">
        <v>72</v>
      </c>
    </row>
    <row r="44" customFormat="false" ht="15" hidden="false" customHeight="false" outlineLevel="0" collapsed="false">
      <c r="A44" s="12" t="s">
        <v>73</v>
      </c>
      <c r="B44" s="25" t="str">
        <f aca="false">IF(B36&lt;1000000,"SDE",IF(B36&gt;2000000,"EBITDA",IF(B43="Yes","EBITDA","SDE")))</f>
        <v>EBITDA</v>
      </c>
      <c r="G44" s="11" t="s">
        <v>74</v>
      </c>
    </row>
    <row r="45" customFormat="false" ht="15" hidden="false" customHeight="false" outlineLevel="0" collapsed="false">
      <c r="A45" s="12" t="s">
        <v>75</v>
      </c>
      <c r="B45" s="22" t="n">
        <f aca="false">IF(B44="SDE",B37,B36)</f>
        <v>1845000</v>
      </c>
      <c r="G45" s="11" t="s">
        <v>76</v>
      </c>
    </row>
    <row r="47" customFormat="false" ht="15" hidden="false" customHeight="false" outlineLevel="0" collapsed="false">
      <c r="A47" s="6" t="s">
        <v>77</v>
      </c>
      <c r="B47" s="8"/>
      <c r="C47" s="7" t="s">
        <v>78</v>
      </c>
      <c r="D47" s="7" t="s">
        <v>79</v>
      </c>
      <c r="E47" s="7" t="s">
        <v>80</v>
      </c>
      <c r="G47" s="7" t="s">
        <v>81</v>
      </c>
    </row>
    <row r="48" customFormat="false" ht="15" hidden="false" customHeight="false" outlineLevel="0" collapsed="false">
      <c r="A48" s="12" t="s">
        <v>82</v>
      </c>
      <c r="C48" s="26" t="n">
        <f aca="false">IF(B44="SDE",2,IF(B7&lt;15000000,3.5,IF(B7&lt;30000000,4.5,6)))</f>
        <v>3.5</v>
      </c>
      <c r="D48" s="26" t="n">
        <f aca="false">IF(B44="SDE",3,IF(B7&lt;15000000,4.5,IF(B7&lt;30000000,6,8)))</f>
        <v>4.5</v>
      </c>
      <c r="E48" s="26" t="n">
        <f aca="false">IF(B44="SDE",4,IF(B7&lt;15000000,5.5,IF(B7&lt;30000000,7.5,10)))</f>
        <v>5.5</v>
      </c>
      <c r="G48" s="11" t="s">
        <v>83</v>
      </c>
    </row>
    <row r="50" customFormat="false" ht="15" hidden="false" customHeight="false" outlineLevel="0" collapsed="false">
      <c r="A50" s="6" t="s">
        <v>84</v>
      </c>
      <c r="B50" s="7" t="s">
        <v>5</v>
      </c>
      <c r="C50" s="7" t="s">
        <v>69</v>
      </c>
      <c r="D50" s="8"/>
      <c r="E50" s="8"/>
      <c r="G50" s="7" t="s">
        <v>85</v>
      </c>
    </row>
    <row r="51" customFormat="false" ht="15" hidden="false" customHeight="false" outlineLevel="0" collapsed="false">
      <c r="A51" s="9" t="s">
        <v>86</v>
      </c>
      <c r="B51" s="27" t="n">
        <v>0.18</v>
      </c>
      <c r="C51" s="28" t="n">
        <f aca="false">IF(B51&gt;=0.15,0.75,IF(B51&lt;0,-1.25,0))</f>
        <v>0.75</v>
      </c>
      <c r="G51" s="11" t="s">
        <v>87</v>
      </c>
    </row>
    <row r="52" customFormat="false" ht="15" hidden="false" customHeight="false" outlineLevel="0" collapsed="false">
      <c r="A52" s="9" t="s">
        <v>88</v>
      </c>
      <c r="B52" s="23" t="n">
        <f aca="false">B10</f>
        <v>0.64</v>
      </c>
      <c r="C52" s="28" t="n">
        <f aca="false">IF(B52&gt;=0.6,0.5,IF(B52&lt;0.4,-0.5,0))</f>
        <v>0.5</v>
      </c>
      <c r="G52" s="11" t="s">
        <v>89</v>
      </c>
    </row>
    <row r="53" customFormat="false" ht="15" hidden="false" customHeight="false" outlineLevel="0" collapsed="false">
      <c r="A53" s="9" t="s">
        <v>90</v>
      </c>
      <c r="B53" s="23" t="n">
        <f aca="false">B19</f>
        <v>0.13</v>
      </c>
      <c r="C53" s="28" t="n">
        <f aca="false">IF(B53&gt;=0.2,0.5,IF(B53&lt;0.05,-0.5,0))</f>
        <v>0</v>
      </c>
      <c r="G53" s="11" t="s">
        <v>91</v>
      </c>
    </row>
    <row r="54" customFormat="false" ht="15" hidden="false" customHeight="false" outlineLevel="0" collapsed="false">
      <c r="A54" s="9" t="s">
        <v>92</v>
      </c>
      <c r="B54" s="27" t="n">
        <v>0.62</v>
      </c>
      <c r="C54" s="28" t="n">
        <f aca="false">IF(B54&gt;0.7,-1,IF(B54&gt;0.5,-0.5,IF(B54&lt;=0.4,0.5,0)))</f>
        <v>-0.5</v>
      </c>
      <c r="G54" s="11" t="s">
        <v>93</v>
      </c>
    </row>
    <row r="55" customFormat="false" ht="15" hidden="false" customHeight="false" outlineLevel="0" collapsed="false">
      <c r="A55" s="9" t="s">
        <v>94</v>
      </c>
      <c r="B55" s="27" t="n">
        <v>0.08</v>
      </c>
      <c r="C55" s="28" t="n">
        <f aca="false">IF(B55&gt;0.3,-0.75,IF(B55&gt;0.25,-0.4,0))</f>
        <v>0</v>
      </c>
      <c r="G55" s="11" t="s">
        <v>95</v>
      </c>
    </row>
    <row r="56" customFormat="false" ht="15" hidden="false" customHeight="false" outlineLevel="0" collapsed="false">
      <c r="A56" s="9" t="s">
        <v>96</v>
      </c>
      <c r="B56" s="27" t="n">
        <v>0.31</v>
      </c>
      <c r="C56" s="28" t="n">
        <f aca="false">IF(B56&gt;=0.35,0.5,IF(B56&lt;0.2,-0.5,0))</f>
        <v>0</v>
      </c>
      <c r="G56" s="11" t="s">
        <v>97</v>
      </c>
    </row>
    <row r="57" customFormat="false" ht="15" hidden="false" customHeight="false" outlineLevel="0" collapsed="false">
      <c r="A57" s="9" t="s">
        <v>98</v>
      </c>
      <c r="B57" s="27" t="n">
        <v>0.22</v>
      </c>
      <c r="C57" s="28" t="n">
        <f aca="false">IF(B57&gt;=0.25,0.25,0)</f>
        <v>0</v>
      </c>
      <c r="G57" s="11" t="s">
        <v>99</v>
      </c>
    </row>
    <row r="58" customFormat="false" ht="15" hidden="false" customHeight="false" outlineLevel="0" collapsed="false">
      <c r="A58" s="9" t="s">
        <v>100</v>
      </c>
      <c r="B58" s="24" t="s">
        <v>101</v>
      </c>
      <c r="C58" s="28" t="n">
        <f aca="false">IF(B58="Yes",0.4,0)</f>
        <v>0</v>
      </c>
      <c r="G58" s="11" t="s">
        <v>102</v>
      </c>
    </row>
    <row r="59" customFormat="false" ht="15" hidden="false" customHeight="false" outlineLevel="0" collapsed="false">
      <c r="A59" s="21" t="s">
        <v>103</v>
      </c>
      <c r="C59" s="26" t="n">
        <f aca="false">SUM(C51:C58)</f>
        <v>0.75</v>
      </c>
    </row>
    <row r="60" customFormat="false" ht="15" hidden="false" customHeight="false" outlineLevel="0" collapsed="false">
      <c r="A60" s="12" t="s">
        <v>104</v>
      </c>
      <c r="C60" s="29" t="n">
        <f aca="false">MAX(1,C48+$C$59)</f>
        <v>4.25</v>
      </c>
      <c r="D60" s="29" t="n">
        <f aca="false">MAX(1,D48+$C$59)</f>
        <v>5.25</v>
      </c>
      <c r="E60" s="29" t="n">
        <f aca="false">MAX(1,E48+$C$59)</f>
        <v>6.25</v>
      </c>
    </row>
    <row r="62" customFormat="false" ht="19.5" hidden="false" customHeight="true" outlineLevel="0" collapsed="false">
      <c r="A62" s="5" t="s">
        <v>105</v>
      </c>
      <c r="B62" s="5"/>
      <c r="C62" s="5"/>
      <c r="D62" s="5"/>
      <c r="E62" s="5"/>
      <c r="F62" s="5"/>
      <c r="G62" s="5"/>
    </row>
    <row r="63" customFormat="false" ht="15" hidden="false" customHeight="false" outlineLevel="0" collapsed="false">
      <c r="A63" s="6" t="s">
        <v>4</v>
      </c>
      <c r="B63" s="8"/>
      <c r="C63" s="7" t="s">
        <v>78</v>
      </c>
      <c r="D63" s="7" t="s">
        <v>79</v>
      </c>
      <c r="E63" s="7" t="s">
        <v>80</v>
      </c>
      <c r="G63" s="7" t="s">
        <v>6</v>
      </c>
    </row>
    <row r="64" customFormat="false" ht="15" hidden="false" customHeight="false" outlineLevel="0" collapsed="false">
      <c r="A64" s="9" t="s">
        <v>75</v>
      </c>
      <c r="C64" s="17" t="n">
        <f aca="false">$B$45</f>
        <v>1845000</v>
      </c>
      <c r="D64" s="17" t="n">
        <f aca="false">$B$45</f>
        <v>1845000</v>
      </c>
      <c r="E64" s="17" t="n">
        <f aca="false">$B$45</f>
        <v>1845000</v>
      </c>
    </row>
    <row r="65" customFormat="false" ht="15" hidden="false" customHeight="false" outlineLevel="0" collapsed="false">
      <c r="A65" s="9" t="s">
        <v>106</v>
      </c>
      <c r="C65" s="28" t="n">
        <f aca="false">C60</f>
        <v>4.25</v>
      </c>
      <c r="D65" s="28" t="n">
        <f aca="false">D60</f>
        <v>5.25</v>
      </c>
      <c r="E65" s="28" t="n">
        <f aca="false">E60</f>
        <v>6.25</v>
      </c>
    </row>
    <row r="66" customFormat="false" ht="15" hidden="false" customHeight="false" outlineLevel="0" collapsed="false">
      <c r="A66" s="12" t="s">
        <v>107</v>
      </c>
      <c r="C66" s="22" t="n">
        <f aca="false">IF($B$45&lt;=0,0,C64*C65)</f>
        <v>7841250</v>
      </c>
      <c r="D66" s="22" t="n">
        <f aca="false">IF($B$45&lt;=0,0,D64*D65)</f>
        <v>9686250</v>
      </c>
      <c r="E66" s="22" t="n">
        <f aca="false">IF($B$45&lt;=0,0,E64*E65)</f>
        <v>11531250</v>
      </c>
      <c r="G66" s="11" t="str">
        <f aca="false">IF($B$45&lt;=0,"NEGATIVE EARNINGS. At this level buyers price on revenue or assets, not a multiple of profit. Sections 4 and 5 will not apply to you.","The headline number. Section 5 shows what's left of it.")</f>
        <v>The headline number. Section 5 shows what's left of it.</v>
      </c>
    </row>
    <row r="67" customFormat="false" ht="15" hidden="false" customHeight="false" outlineLevel="0" collapsed="false">
      <c r="A67" s="9" t="s">
        <v>108</v>
      </c>
      <c r="C67" s="28" t="n">
        <f aca="false">IFERROR(C66/$B$7,0)</f>
        <v>0.6534375</v>
      </c>
      <c r="D67" s="28" t="n">
        <f aca="false">IFERROR(D66/$B$7,0)</f>
        <v>0.8071875</v>
      </c>
      <c r="E67" s="28" t="n">
        <f aca="false">IFERROR(E66/$B$7,0)</f>
        <v>0.9609375</v>
      </c>
      <c r="G67" s="11" t="s">
        <v>109</v>
      </c>
    </row>
    <row r="69" customFormat="false" ht="19.5" hidden="false" customHeight="true" outlineLevel="0" collapsed="false">
      <c r="A69" s="5" t="s">
        <v>110</v>
      </c>
      <c r="B69" s="5"/>
      <c r="C69" s="5"/>
      <c r="D69" s="5"/>
      <c r="E69" s="5"/>
      <c r="F69" s="5"/>
      <c r="G69" s="5"/>
    </row>
    <row r="70" customFormat="false" ht="15" hidden="false" customHeight="false" outlineLevel="0" collapsed="false">
      <c r="A70" s="6" t="s">
        <v>4</v>
      </c>
      <c r="B70" s="7" t="s">
        <v>5</v>
      </c>
      <c r="C70" s="7" t="s">
        <v>78</v>
      </c>
      <c r="D70" s="7" t="s">
        <v>79</v>
      </c>
      <c r="E70" s="7" t="s">
        <v>80</v>
      </c>
      <c r="G70" s="7" t="s">
        <v>6</v>
      </c>
    </row>
    <row r="71" customFormat="false" ht="15" hidden="false" customHeight="false" outlineLevel="0" collapsed="false">
      <c r="A71" s="9" t="s">
        <v>111</v>
      </c>
      <c r="C71" s="17" t="n">
        <f aca="false">C66</f>
        <v>7841250</v>
      </c>
      <c r="D71" s="17" t="n">
        <f aca="false">D66</f>
        <v>9686250</v>
      </c>
      <c r="E71" s="17" t="n">
        <f aca="false">E66</f>
        <v>11531250</v>
      </c>
    </row>
    <row r="72" customFormat="false" ht="15" hidden="false" customHeight="false" outlineLevel="0" collapsed="false">
      <c r="A72" s="9" t="s">
        <v>112</v>
      </c>
      <c r="B72" s="10" t="n">
        <v>900000</v>
      </c>
      <c r="C72" s="17" t="n">
        <f aca="false">-$B$72</f>
        <v>-900000</v>
      </c>
      <c r="D72" s="17" t="n">
        <f aca="false">-$B$72</f>
        <v>-900000</v>
      </c>
      <c r="E72" s="17" t="n">
        <f aca="false">-$B$72</f>
        <v>-900000</v>
      </c>
      <c r="G72" s="11" t="s">
        <v>113</v>
      </c>
    </row>
    <row r="73" customFormat="false" ht="15" hidden="false" customHeight="false" outlineLevel="0" collapsed="false">
      <c r="A73" s="9" t="s">
        <v>114</v>
      </c>
      <c r="B73" s="10" t="n">
        <v>250000</v>
      </c>
      <c r="C73" s="17" t="n">
        <f aca="false">$B$73</f>
        <v>250000</v>
      </c>
      <c r="D73" s="17" t="n">
        <f aca="false">$B$73</f>
        <v>250000</v>
      </c>
      <c r="E73" s="17" t="n">
        <f aca="false">$B$73</f>
        <v>250000</v>
      </c>
    </row>
    <row r="74" customFormat="false" ht="15" hidden="false" customHeight="false" outlineLevel="0" collapsed="false">
      <c r="A74" s="9" t="s">
        <v>115</v>
      </c>
      <c r="B74" s="10" t="n">
        <v>200000</v>
      </c>
      <c r="C74" s="17" t="n">
        <f aca="false">-$B$74</f>
        <v>-200000</v>
      </c>
      <c r="D74" s="17" t="n">
        <f aca="false">-$B$74</f>
        <v>-200000</v>
      </c>
      <c r="E74" s="17" t="n">
        <f aca="false">-$B$74</f>
        <v>-200000</v>
      </c>
      <c r="G74" s="11" t="s">
        <v>116</v>
      </c>
    </row>
    <row r="75" customFormat="false" ht="15" hidden="false" customHeight="false" outlineLevel="0" collapsed="false">
      <c r="A75" s="9" t="s">
        <v>117</v>
      </c>
      <c r="B75" s="10" t="n">
        <v>150000</v>
      </c>
      <c r="C75" s="17" t="n">
        <f aca="false">-$B$75</f>
        <v>-150000</v>
      </c>
      <c r="D75" s="17" t="n">
        <f aca="false">-$B$75</f>
        <v>-150000</v>
      </c>
      <c r="E75" s="17" t="n">
        <f aca="false">-$B$75</f>
        <v>-150000</v>
      </c>
      <c r="G75" s="11" t="s">
        <v>118</v>
      </c>
    </row>
    <row r="76" customFormat="false" ht="15" hidden="false" customHeight="false" outlineLevel="0" collapsed="false">
      <c r="A76" s="21" t="s">
        <v>119</v>
      </c>
      <c r="C76" s="13" t="n">
        <f aca="false">SUM(C71:C75)</f>
        <v>6841250</v>
      </c>
      <c r="D76" s="13" t="n">
        <f aca="false">SUM(D71:D75)</f>
        <v>8686250</v>
      </c>
      <c r="E76" s="13" t="n">
        <f aca="false">SUM(E71:E75)</f>
        <v>10531250</v>
      </c>
    </row>
    <row r="77" customFormat="false" ht="15" hidden="false" customHeight="false" outlineLevel="0" collapsed="false">
      <c r="A77" s="9" t="s">
        <v>120</v>
      </c>
      <c r="B77" s="27" t="n">
        <v>0.05</v>
      </c>
      <c r="C77" s="17" t="n">
        <f aca="false">-C71*$B$77</f>
        <v>-392062.5</v>
      </c>
      <c r="D77" s="17" t="n">
        <f aca="false">-D71*$B$77</f>
        <v>-484312.5</v>
      </c>
      <c r="E77" s="17" t="n">
        <f aca="false">-E71*$B$77</f>
        <v>-576562.5</v>
      </c>
    </row>
    <row r="78" customFormat="false" ht="15" hidden="false" customHeight="false" outlineLevel="0" collapsed="false">
      <c r="A78" s="9" t="s">
        <v>121</v>
      </c>
      <c r="B78" s="10" t="n">
        <v>175000</v>
      </c>
      <c r="C78" s="17" t="n">
        <f aca="false">-$B$78</f>
        <v>-175000</v>
      </c>
      <c r="D78" s="17" t="n">
        <f aca="false">-$B$78</f>
        <v>-175000</v>
      </c>
      <c r="E78" s="17" t="n">
        <f aca="false">-$B$78</f>
        <v>-175000</v>
      </c>
      <c r="G78" s="11" t="s">
        <v>122</v>
      </c>
    </row>
    <row r="79" customFormat="false" ht="15" hidden="false" customHeight="false" outlineLevel="0" collapsed="false">
      <c r="A79" s="9" t="s">
        <v>123</v>
      </c>
      <c r="B79" s="27" t="n">
        <v>0.08</v>
      </c>
      <c r="C79" s="17" t="n">
        <f aca="false">-C76*$B$79</f>
        <v>-547300</v>
      </c>
      <c r="D79" s="17" t="n">
        <f aca="false">-D76*$B$79</f>
        <v>-694900</v>
      </c>
      <c r="E79" s="17" t="n">
        <f aca="false">-E76*$B$79</f>
        <v>-842500</v>
      </c>
      <c r="G79" s="11" t="s">
        <v>124</v>
      </c>
    </row>
    <row r="80" customFormat="false" ht="15" hidden="false" customHeight="false" outlineLevel="0" collapsed="false">
      <c r="A80" s="9" t="s">
        <v>125</v>
      </c>
      <c r="B80" s="27" t="n">
        <v>0.1</v>
      </c>
      <c r="C80" s="17" t="n">
        <f aca="false">-C76*$B$80</f>
        <v>-684125</v>
      </c>
      <c r="D80" s="17" t="n">
        <f aca="false">-D76*$B$80</f>
        <v>-868625</v>
      </c>
      <c r="E80" s="17" t="n">
        <f aca="false">-E76*$B$80</f>
        <v>-1053125</v>
      </c>
      <c r="G80" s="11" t="s">
        <v>126</v>
      </c>
    </row>
    <row r="81" customFormat="false" ht="15" hidden="false" customHeight="false" outlineLevel="0" collapsed="false">
      <c r="A81" s="9" t="s">
        <v>127</v>
      </c>
      <c r="B81" s="27" t="n">
        <v>0.1</v>
      </c>
      <c r="C81" s="17" t="n">
        <f aca="false">-C76*$B$81</f>
        <v>-684125</v>
      </c>
      <c r="D81" s="17" t="n">
        <f aca="false">-D76*$B$81</f>
        <v>-868625</v>
      </c>
      <c r="E81" s="17" t="n">
        <f aca="false">-E76*$B$81</f>
        <v>-1053125</v>
      </c>
    </row>
    <row r="82" customFormat="false" ht="15" hidden="false" customHeight="false" outlineLevel="0" collapsed="false">
      <c r="A82" s="21" t="s">
        <v>128</v>
      </c>
      <c r="C82" s="22" t="n">
        <f aca="false">SUM(C76:C81)</f>
        <v>4358637.5</v>
      </c>
      <c r="D82" s="22" t="n">
        <f aca="false">SUM(D76:D81)</f>
        <v>5594787.5</v>
      </c>
      <c r="E82" s="22" t="n">
        <f aca="false">SUM(E76:E81)</f>
        <v>6830937.5</v>
      </c>
      <c r="G82" s="11" t="str">
        <f aca="false">IF(D82&lt;0,"CHECK YOUR INPUTS. Deductions exceed the deal value. The debt, fee and working capital defaults above are sized for a $12M brand.","This is what actually gets wired to you.")</f>
        <v>This is what actually gets wired to you.</v>
      </c>
    </row>
    <row r="83" customFormat="false" ht="15" hidden="false" customHeight="false" outlineLevel="0" collapsed="false">
      <c r="A83" s="12" t="s">
        <v>129</v>
      </c>
      <c r="C83" s="30" t="n">
        <f aca="false">IFERROR(C82/C71,0)</f>
        <v>0.555860035070939</v>
      </c>
      <c r="D83" s="30" t="n">
        <f aca="false">IFERROR(D82/D71,0)</f>
        <v>0.577600980771713</v>
      </c>
      <c r="E83" s="30" t="n">
        <f aca="false">IFERROR(E82/E71,0)</f>
        <v>0.592384823848238</v>
      </c>
      <c r="G83" s="11" t="s">
        <v>130</v>
      </c>
    </row>
    <row r="85" customFormat="false" ht="15" hidden="false" customHeight="false" outlineLevel="0" collapsed="false">
      <c r="A85" s="6" t="s">
        <v>131</v>
      </c>
      <c r="B85" s="7" t="s">
        <v>5</v>
      </c>
      <c r="C85" s="7" t="s">
        <v>78</v>
      </c>
      <c r="D85" s="7" t="s">
        <v>79</v>
      </c>
      <c r="E85" s="7" t="s">
        <v>80</v>
      </c>
      <c r="G85" s="7" t="s">
        <v>6</v>
      </c>
    </row>
    <row r="86" customFormat="false" ht="15" hidden="false" customHeight="false" outlineLevel="0" collapsed="false">
      <c r="A86" s="9" t="s">
        <v>132</v>
      </c>
      <c r="C86" s="17" t="n">
        <f aca="false">-C81</f>
        <v>684125</v>
      </c>
      <c r="D86" s="17" t="n">
        <f aca="false">-D81</f>
        <v>868625</v>
      </c>
      <c r="E86" s="17" t="n">
        <f aca="false">-E81</f>
        <v>1053125</v>
      </c>
    </row>
    <row r="87" customFormat="false" ht="15" hidden="false" customHeight="false" outlineLevel="0" collapsed="false">
      <c r="A87" s="9" t="s">
        <v>133</v>
      </c>
      <c r="B87" s="31" t="n">
        <v>0.21</v>
      </c>
      <c r="C87" s="17" t="n">
        <f aca="false">C86*$B$87</f>
        <v>143666.25</v>
      </c>
      <c r="D87" s="17" t="n">
        <f aca="false">D86*$B$87</f>
        <v>182411.25</v>
      </c>
      <c r="E87" s="17" t="n">
        <f aca="false">E86*$B$87</f>
        <v>221156.25</v>
      </c>
      <c r="G87" s="11" t="s">
        <v>134</v>
      </c>
    </row>
    <row r="88" customFormat="false" ht="15" hidden="false" customHeight="false" outlineLevel="0" collapsed="false">
      <c r="A88" s="9" t="s">
        <v>135</v>
      </c>
      <c r="B88" s="27" t="n">
        <v>0.9</v>
      </c>
      <c r="C88" s="17" t="n">
        <f aca="false">-C79*$B$88</f>
        <v>492570</v>
      </c>
      <c r="D88" s="17" t="n">
        <f aca="false">-D79*$B$88</f>
        <v>625410</v>
      </c>
      <c r="E88" s="17" t="n">
        <f aca="false">-E79*$B$88</f>
        <v>758250</v>
      </c>
    </row>
    <row r="89" customFormat="false" ht="15" hidden="false" customHeight="false" outlineLevel="0" collapsed="false">
      <c r="A89" s="9" t="s">
        <v>136</v>
      </c>
      <c r="C89" s="17" t="n">
        <f aca="false">-C80</f>
        <v>684125</v>
      </c>
      <c r="D89" s="17" t="n">
        <f aca="false">-D80</f>
        <v>868625</v>
      </c>
      <c r="E89" s="17" t="n">
        <f aca="false">-E80</f>
        <v>1053125</v>
      </c>
      <c r="G89" s="11" t="s">
        <v>137</v>
      </c>
    </row>
    <row r="90" customFormat="false" ht="15" hidden="false" customHeight="false" outlineLevel="0" collapsed="false">
      <c r="A90" s="21" t="s">
        <v>138</v>
      </c>
      <c r="C90" s="13" t="n">
        <f aca="false">C82+C87+C88+C89</f>
        <v>5678998.75</v>
      </c>
      <c r="D90" s="13" t="n">
        <f aca="false">D82+D87+D88+D89</f>
        <v>7271233.75</v>
      </c>
      <c r="E90" s="13" t="n">
        <f aca="false">E82+E87+E88+E89</f>
        <v>8863468.75</v>
      </c>
    </row>
    <row r="91" customFormat="false" ht="15" hidden="false" customHeight="false" outlineLevel="0" collapsed="false">
      <c r="A91" s="9" t="s">
        <v>139</v>
      </c>
      <c r="B91" s="27" t="n">
        <v>0.24</v>
      </c>
      <c r="C91" s="17" t="n">
        <f aca="false">-C90*$B$91</f>
        <v>-1362959.7</v>
      </c>
      <c r="D91" s="17" t="n">
        <f aca="false">-D90*$B$91</f>
        <v>-1745096.1</v>
      </c>
      <c r="E91" s="17" t="n">
        <f aca="false">-E90*$B$91</f>
        <v>-2127232.5</v>
      </c>
      <c r="G91" s="11" t="s">
        <v>140</v>
      </c>
    </row>
    <row r="92" customFormat="false" ht="15" hidden="false" customHeight="false" outlineLevel="0" collapsed="false">
      <c r="A92" s="12" t="s">
        <v>141</v>
      </c>
      <c r="C92" s="22" t="n">
        <f aca="false">C90+C91</f>
        <v>4316039.05</v>
      </c>
      <c r="D92" s="22" t="n">
        <f aca="false">D90+D91</f>
        <v>5526137.65</v>
      </c>
      <c r="E92" s="22" t="n">
        <f aca="false">E90+E91</f>
        <v>6736236.25</v>
      </c>
    </row>
    <row r="93" customFormat="false" ht="15" hidden="false" customHeight="false" outlineLevel="0" collapsed="false">
      <c r="A93" s="12" t="s">
        <v>142</v>
      </c>
      <c r="C93" s="30" t="n">
        <f aca="false">IFERROR(C92/C71,0)</f>
        <v>0.550427425474255</v>
      </c>
      <c r="D93" s="30" t="n">
        <f aca="false">IFERROR(D92/D71,0)</f>
        <v>0.570513630145825</v>
      </c>
      <c r="E93" s="30" t="n">
        <f aca="false">IFERROR(E92/E71,0)</f>
        <v>0.584172249322493</v>
      </c>
      <c r="G93" s="11" t="s">
        <v>143</v>
      </c>
    </row>
    <row r="95" customFormat="false" ht="19.5" hidden="false" customHeight="true" outlineLevel="0" collapsed="false">
      <c r="A95" s="5" t="s">
        <v>144</v>
      </c>
      <c r="B95" s="5"/>
      <c r="C95" s="5"/>
      <c r="D95" s="5"/>
      <c r="E95" s="5"/>
      <c r="F95" s="5"/>
      <c r="G95" s="5"/>
    </row>
    <row r="96" customFormat="false" ht="15" hidden="false" customHeight="false" outlineLevel="0" collapsed="false">
      <c r="A96" s="6" t="s">
        <v>68</v>
      </c>
      <c r="B96" s="7" t="s">
        <v>145</v>
      </c>
      <c r="C96" s="7" t="s">
        <v>146</v>
      </c>
      <c r="D96" s="7" t="s">
        <v>147</v>
      </c>
      <c r="E96" s="8"/>
      <c r="G96" s="7" t="s">
        <v>148</v>
      </c>
    </row>
    <row r="97" customFormat="false" ht="15" hidden="false" customHeight="false" outlineLevel="0" collapsed="false">
      <c r="A97" s="9" t="s">
        <v>149</v>
      </c>
      <c r="B97" s="23" t="n">
        <f aca="false">B10</f>
        <v>0.64</v>
      </c>
      <c r="C97" s="18" t="s">
        <v>150</v>
      </c>
      <c r="D97" s="32" t="str">
        <f aca="false">IF(B97&gt;=0.6,"Premium",IF(B97&gt;=0.5,"On benchmark","Below benchmark"))</f>
        <v>Premium</v>
      </c>
      <c r="G97" s="11" t="s">
        <v>151</v>
      </c>
    </row>
    <row r="98" customFormat="false" ht="15" hidden="false" customHeight="false" outlineLevel="0" collapsed="false">
      <c r="A98" s="9" t="s">
        <v>152</v>
      </c>
      <c r="B98" s="23" t="n">
        <f aca="false">B19</f>
        <v>0.13</v>
      </c>
      <c r="C98" s="18" t="s">
        <v>153</v>
      </c>
      <c r="D98" s="32" t="str">
        <f aca="false">IF(B98&gt;=0.2,"Premium",IF(B98&gt;=0.1,"Acceptable","Priced as a fixer"))</f>
        <v>Acceptable</v>
      </c>
      <c r="G98" s="11" t="s">
        <v>154</v>
      </c>
    </row>
    <row r="99" customFormat="false" ht="15" hidden="false" customHeight="false" outlineLevel="0" collapsed="false">
      <c r="A99" s="9" t="s">
        <v>155</v>
      </c>
      <c r="B99" s="23" t="n">
        <f aca="false">B54</f>
        <v>0.62</v>
      </c>
      <c r="C99" s="18" t="s">
        <v>156</v>
      </c>
      <c r="D99" s="32" t="str">
        <f aca="false">IF(B99&gt;0.7,"Dependency",IF(B99&gt;0.5,"Watch it","Diversified"))</f>
        <v>Watch it</v>
      </c>
      <c r="G99" s="11" t="s">
        <v>157</v>
      </c>
    </row>
    <row r="100" customFormat="false" ht="15" hidden="false" customHeight="false" outlineLevel="0" collapsed="false">
      <c r="A100" s="9" t="s">
        <v>63</v>
      </c>
      <c r="B100" s="23" t="n">
        <f aca="false">B38</f>
        <v>0.154471544715447</v>
      </c>
      <c r="C100" s="18" t="s">
        <v>158</v>
      </c>
      <c r="D100" s="32" t="str">
        <f aca="false">IF(B100&gt;0.4,"Expect a fight",IF(B100&gt;0.29,"Above benchmark","In range"))</f>
        <v>In range</v>
      </c>
      <c r="G100" s="11" t="s">
        <v>159</v>
      </c>
    </row>
    <row r="101" customFormat="false" ht="15" hidden="false" customHeight="false" outlineLevel="0" collapsed="false">
      <c r="A101" s="9" t="s">
        <v>160</v>
      </c>
      <c r="B101" s="23" t="n">
        <f aca="false">D83</f>
        <v>0.577600980771713</v>
      </c>
      <c r="C101" s="18" t="s">
        <v>161</v>
      </c>
      <c r="D101" s="32" t="str">
        <f aca="false">IF(B101&gt;=0.8,"Strong",IF(B101&gt;=0.6,"Workable","You are financing the buyer"))</f>
        <v>You are financing the buyer</v>
      </c>
      <c r="G101" s="11" t="s">
        <v>162</v>
      </c>
    </row>
    <row r="102" customFormat="false" ht="15" hidden="false" customHeight="false" outlineLevel="0" collapsed="false">
      <c r="A102" s="9" t="s">
        <v>163</v>
      </c>
      <c r="B102" s="23" t="n">
        <f aca="false">D93</f>
        <v>0.570513630145825</v>
      </c>
      <c r="C102" s="18" t="s">
        <v>164</v>
      </c>
      <c r="D102" s="32" t="str">
        <f aca="false">IF(B102&lt;0.6,"Read this row twice","")</f>
        <v>Read this row twice</v>
      </c>
      <c r="G102" s="11" t="s">
        <v>165</v>
      </c>
    </row>
    <row r="104" customFormat="false" ht="15" hidden="false" customHeight="false" outlineLevel="0" collapsed="false">
      <c r="A104" s="33" t="s">
        <v>166</v>
      </c>
      <c r="B104" s="33"/>
      <c r="C104" s="33"/>
      <c r="D104" s="33"/>
      <c r="E104" s="33"/>
      <c r="F104" s="33"/>
      <c r="G104" s="33"/>
    </row>
  </sheetData>
  <mergeCells count="10">
    <mergeCell ref="A1:G1"/>
    <mergeCell ref="A2:G2"/>
    <mergeCell ref="A3:G3"/>
    <mergeCell ref="A5:G5"/>
    <mergeCell ref="A21:G21"/>
    <mergeCell ref="A41:G41"/>
    <mergeCell ref="A62:G62"/>
    <mergeCell ref="A69:G69"/>
    <mergeCell ref="A95:G95"/>
    <mergeCell ref="A104:G104"/>
  </mergeCells>
  <dataValidations count="1">
    <dataValidation allowBlank="false" error="Enter Yes or No." errorStyle="stop" operator="between" showDropDown="false" showErrorMessage="false" showInputMessage="false" sqref="B43 B58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5"/>
    <col collapsed="false" customWidth="true" hidden="false" outlineLevel="0" max="5" min="3" style="1" width="14"/>
    <col collapsed="false" customWidth="true" hidden="false" outlineLevel="0" max="6" min="6" style="1" width="2"/>
    <col collapsed="false" customWidth="true" hidden="false" outlineLevel="0" max="7" min="7" style="1" width="72"/>
  </cols>
  <sheetData>
    <row r="1" customFormat="false" ht="30" hidden="false" customHeight="true" outlineLevel="0" collapsed="false">
      <c r="A1" s="2" t="s">
        <v>167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 t="s">
        <v>168</v>
      </c>
      <c r="B2" s="3"/>
      <c r="C2" s="3"/>
      <c r="D2" s="3"/>
      <c r="E2" s="3"/>
      <c r="F2" s="3"/>
      <c r="G2" s="3"/>
    </row>
    <row r="4" customFormat="false" ht="19.5" hidden="false" customHeight="true" outlineLevel="0" collapsed="false">
      <c r="A4" s="5" t="s">
        <v>169</v>
      </c>
      <c r="B4" s="5"/>
      <c r="C4" s="5"/>
      <c r="D4" s="5"/>
      <c r="E4" s="5"/>
      <c r="F4" s="5"/>
      <c r="G4" s="5"/>
    </row>
    <row r="5" customFormat="false" ht="24" hidden="false" customHeight="true" outlineLevel="0" collapsed="false">
      <c r="A5" s="34" t="s">
        <v>170</v>
      </c>
      <c r="B5" s="34"/>
      <c r="C5" s="34"/>
      <c r="D5" s="34"/>
      <c r="E5" s="34"/>
      <c r="F5" s="34"/>
      <c r="G5" s="34"/>
    </row>
    <row r="6" customFormat="false" ht="15" hidden="false" customHeight="false" outlineLevel="0" collapsed="false">
      <c r="A6" s="33" t="s">
        <v>171</v>
      </c>
      <c r="B6" s="33"/>
      <c r="C6" s="33"/>
      <c r="D6" s="33"/>
      <c r="E6" s="33"/>
      <c r="F6" s="33"/>
      <c r="G6" s="33"/>
    </row>
    <row r="8" customFormat="false" ht="19.5" hidden="false" customHeight="true" outlineLevel="0" collapsed="false">
      <c r="A8" s="5" t="s">
        <v>172</v>
      </c>
      <c r="B8" s="5"/>
      <c r="C8" s="5"/>
      <c r="D8" s="5"/>
      <c r="E8" s="5"/>
      <c r="F8" s="5"/>
      <c r="G8" s="5"/>
    </row>
    <row r="9" customFormat="false" ht="15" hidden="false" customHeight="false" outlineLevel="0" collapsed="false">
      <c r="A9" s="6" t="s">
        <v>173</v>
      </c>
      <c r="B9" s="7" t="s">
        <v>174</v>
      </c>
      <c r="C9" s="8"/>
      <c r="D9" s="8"/>
      <c r="E9" s="8"/>
      <c r="G9" s="7" t="s">
        <v>6</v>
      </c>
    </row>
    <row r="10" customFormat="false" ht="15" hidden="false" customHeight="false" outlineLevel="0" collapsed="false">
      <c r="A10" s="35" t="s">
        <v>175</v>
      </c>
      <c r="B10" s="10" t="n">
        <v>300000</v>
      </c>
      <c r="G10" s="36" t="s">
        <v>176</v>
      </c>
    </row>
    <row r="11" customFormat="false" ht="15" hidden="false" customHeight="false" outlineLevel="0" collapsed="false">
      <c r="A11" s="35" t="s">
        <v>177</v>
      </c>
      <c r="B11" s="27" t="n">
        <v>0.08</v>
      </c>
      <c r="G11" s="36" t="s">
        <v>178</v>
      </c>
    </row>
    <row r="12" customFormat="false" ht="15" hidden="false" customHeight="false" outlineLevel="0" collapsed="false">
      <c r="A12" s="35" t="s">
        <v>179</v>
      </c>
      <c r="B12" s="24" t="s">
        <v>180</v>
      </c>
      <c r="G12" s="36" t="s">
        <v>181</v>
      </c>
    </row>
    <row r="13" customFormat="false" ht="15" hidden="false" customHeight="false" outlineLevel="0" collapsed="false">
      <c r="A13" s="35" t="s">
        <v>182</v>
      </c>
      <c r="B13" s="10" t="n">
        <v>1000000</v>
      </c>
      <c r="G13" s="36" t="s">
        <v>183</v>
      </c>
    </row>
    <row r="14" customFormat="false" ht="15" hidden="false" customHeight="false" outlineLevel="0" collapsed="false">
      <c r="A14" s="35" t="s">
        <v>184</v>
      </c>
      <c r="B14" s="27" t="n">
        <v>0.14</v>
      </c>
      <c r="G14" s="36" t="s">
        <v>185</v>
      </c>
    </row>
    <row r="15" customFormat="false" ht="15" hidden="false" customHeight="false" outlineLevel="0" collapsed="false">
      <c r="A15" s="35" t="s">
        <v>186</v>
      </c>
      <c r="B15" s="37" t="n">
        <v>6</v>
      </c>
      <c r="G15" s="36" t="s">
        <v>187</v>
      </c>
    </row>
    <row r="16" customFormat="false" ht="15" hidden="false" customHeight="false" outlineLevel="0" collapsed="false">
      <c r="A16" s="38" t="s">
        <v>188</v>
      </c>
      <c r="B16" s="13" t="n">
        <f aca="false">B10*(1+B11)</f>
        <v>324000</v>
      </c>
      <c r="G16" s="36" t="s">
        <v>189</v>
      </c>
    </row>
    <row r="17" customFormat="false" ht="15" hidden="false" customHeight="false" outlineLevel="0" collapsed="false">
      <c r="A17" s="38" t="s">
        <v>190</v>
      </c>
      <c r="B17" s="13" t="n">
        <f aca="false">B10*B11</f>
        <v>24000</v>
      </c>
    </row>
    <row r="18" customFormat="false" ht="15" hidden="false" customHeight="false" outlineLevel="0" collapsed="false">
      <c r="A18" s="38" t="s">
        <v>191</v>
      </c>
      <c r="B18" s="13" t="n">
        <f aca="false">IF(B12="Revenue share",B13*B14,IFERROR(B10*(1+B11)/B15,0))</f>
        <v>140000</v>
      </c>
      <c r="G18" s="36" t="s">
        <v>192</v>
      </c>
    </row>
    <row r="19" customFormat="false" ht="15" hidden="false" customHeight="false" outlineLevel="0" collapsed="false">
      <c r="A19" s="38" t="s">
        <v>193</v>
      </c>
      <c r="B19" s="39" t="n">
        <f aca="false">IFERROR(IF(B12="Revenue share",B10*(1+B11)/(B13*B14)*30.4,B15*30.4),0)</f>
        <v>70.3542857142857</v>
      </c>
      <c r="G19" s="36" t="s">
        <v>194</v>
      </c>
    </row>
    <row r="20" customFormat="false" ht="15" hidden="false" customHeight="false" outlineLevel="0" collapsed="false">
      <c r="A20" s="38" t="s">
        <v>195</v>
      </c>
      <c r="B20" s="40" t="n">
        <f aca="false">IFERROR(B19/30.4,0)</f>
        <v>2.31428571428571</v>
      </c>
    </row>
    <row r="21" customFormat="false" ht="15" hidden="false" customHeight="false" outlineLevel="0" collapsed="false">
      <c r="A21" s="41" t="s">
        <v>196</v>
      </c>
      <c r="B21" s="42" t="n">
        <f aca="false">IFERROR(B11/(B19/365),0)</f>
        <v>0.415042235217674</v>
      </c>
      <c r="G21" s="43" t="str">
        <f aca="false">IF(B19&lt;=0,"Fill in monthly revenue and sweep % above, or switch to Fixed term, to get a real number.","Compare this against the table below. The flat fee tells you nothing on its own.")</f>
        <v>Compare this against the table below. The flat fee tells you nothing on its own.</v>
      </c>
    </row>
    <row r="23" customFormat="false" ht="19.5" hidden="false" customHeight="true" outlineLevel="0" collapsed="false">
      <c r="A23" s="5" t="s">
        <v>197</v>
      </c>
      <c r="B23" s="5"/>
      <c r="C23" s="5"/>
      <c r="D23" s="5"/>
      <c r="E23" s="5"/>
      <c r="F23" s="5"/>
      <c r="G23" s="5"/>
    </row>
    <row r="24" customFormat="false" ht="15" hidden="false" customHeight="false" outlineLevel="0" collapsed="false">
      <c r="A24" s="6" t="s">
        <v>198</v>
      </c>
      <c r="B24" s="7" t="s">
        <v>199</v>
      </c>
      <c r="C24" s="7" t="s">
        <v>200</v>
      </c>
      <c r="D24" s="7" t="s">
        <v>201</v>
      </c>
      <c r="E24" s="7" t="s">
        <v>202</v>
      </c>
      <c r="G24" s="7" t="s">
        <v>203</v>
      </c>
    </row>
    <row r="25" customFormat="false" ht="15" hidden="false" customHeight="false" outlineLevel="0" collapsed="false">
      <c r="A25" s="35" t="s">
        <v>204</v>
      </c>
      <c r="B25" s="44" t="n">
        <v>0.07</v>
      </c>
      <c r="C25" s="44" t="n">
        <v>0.1</v>
      </c>
      <c r="D25" s="44" t="n">
        <f aca="false">(B25+C25)/2</f>
        <v>0.085</v>
      </c>
      <c r="E25" s="45" t="n">
        <f aca="false">$B$10*D25*($B$19/365)</f>
        <v>4915.16242661448</v>
      </c>
      <c r="G25" s="36" t="s">
        <v>205</v>
      </c>
    </row>
    <row r="26" customFormat="false" ht="15" hidden="false" customHeight="false" outlineLevel="0" collapsed="false">
      <c r="A26" s="35" t="s">
        <v>206</v>
      </c>
      <c r="B26" s="44" t="n">
        <v>0.07</v>
      </c>
      <c r="C26" s="44" t="n">
        <v>0.15</v>
      </c>
      <c r="D26" s="44" t="n">
        <f aca="false">(B26+C26)/2</f>
        <v>0.11</v>
      </c>
      <c r="E26" s="45" t="n">
        <f aca="false">$B$10*D26*($B$19/365)</f>
        <v>6360.79843444227</v>
      </c>
      <c r="G26" s="36" t="s">
        <v>207</v>
      </c>
    </row>
    <row r="27" customFormat="false" ht="15" hidden="false" customHeight="false" outlineLevel="0" collapsed="false">
      <c r="A27" s="35" t="s">
        <v>208</v>
      </c>
      <c r="B27" s="44" t="n">
        <v>0.12</v>
      </c>
      <c r="C27" s="44" t="n">
        <v>0.16</v>
      </c>
      <c r="D27" s="44" t="n">
        <f aca="false">(B27+C27)/2</f>
        <v>0.14</v>
      </c>
      <c r="E27" s="45" t="n">
        <f aca="false">$B$10*D27*($B$19/365)</f>
        <v>8095.56164383562</v>
      </c>
      <c r="G27" s="36" t="s">
        <v>209</v>
      </c>
    </row>
    <row r="28" customFormat="false" ht="15" hidden="false" customHeight="false" outlineLevel="0" collapsed="false">
      <c r="A28" s="35" t="s">
        <v>210</v>
      </c>
      <c r="B28" s="44" t="n">
        <v>0.15</v>
      </c>
      <c r="C28" s="44" t="n">
        <v>0.3</v>
      </c>
      <c r="D28" s="44" t="n">
        <f aca="false">(B28+C28)/2</f>
        <v>0.225</v>
      </c>
      <c r="E28" s="45" t="n">
        <f aca="false">$B$10*D28*($B$19/365)</f>
        <v>13010.7240704501</v>
      </c>
      <c r="G28" s="36" t="s">
        <v>211</v>
      </c>
    </row>
    <row r="29" customFormat="false" ht="15" hidden="false" customHeight="false" outlineLevel="0" collapsed="false">
      <c r="A29" s="35" t="s">
        <v>212</v>
      </c>
      <c r="B29" s="44" t="n">
        <v>0.2</v>
      </c>
      <c r="C29" s="44" t="n">
        <v>0.6</v>
      </c>
      <c r="D29" s="44" t="n">
        <f aca="false">(B29+C29)/2</f>
        <v>0.4</v>
      </c>
      <c r="E29" s="45" t="n">
        <f aca="false">$B$10*D29*($B$19/365)</f>
        <v>23130.1761252446</v>
      </c>
      <c r="G29" s="36" t="s">
        <v>213</v>
      </c>
    </row>
    <row r="30" customFormat="false" ht="15" hidden="false" customHeight="false" outlineLevel="0" collapsed="false">
      <c r="A30" s="35" t="s">
        <v>214</v>
      </c>
      <c r="B30" s="44" t="n">
        <v>0.15</v>
      </c>
      <c r="C30" s="44" t="n">
        <v>0.7</v>
      </c>
      <c r="D30" s="44" t="n">
        <f aca="false">(B30+C30)/2</f>
        <v>0.425</v>
      </c>
      <c r="E30" s="45" t="n">
        <f aca="false">$B$10*D30*($B$19/365)</f>
        <v>24575.8121330724</v>
      </c>
      <c r="G30" s="36" t="s">
        <v>215</v>
      </c>
    </row>
    <row r="31" customFormat="false" ht="15" hidden="false" customHeight="false" outlineLevel="0" collapsed="false">
      <c r="A31" s="35" t="s">
        <v>216</v>
      </c>
      <c r="B31" s="44" t="n">
        <v>0.3</v>
      </c>
      <c r="C31" s="44" t="n">
        <v>0.45</v>
      </c>
      <c r="D31" s="44" t="n">
        <f aca="false">(B31+C31)/2</f>
        <v>0.375</v>
      </c>
      <c r="E31" s="45" t="n">
        <f aca="false">$B$10*D31*($B$19/365)</f>
        <v>21684.5401174168</v>
      </c>
      <c r="G31" s="36" t="s">
        <v>217</v>
      </c>
    </row>
    <row r="32" customFormat="false" ht="15" hidden="false" customHeight="false" outlineLevel="0" collapsed="false">
      <c r="A32" s="35" t="s">
        <v>218</v>
      </c>
      <c r="B32" s="44" t="n">
        <v>0</v>
      </c>
      <c r="C32" s="44" t="n">
        <v>0</v>
      </c>
      <c r="D32" s="44" t="n">
        <f aca="false">(B32+C32)/2</f>
        <v>0</v>
      </c>
      <c r="E32" s="45" t="n">
        <f aca="false">$B$10*D32*($B$19/365)</f>
        <v>0</v>
      </c>
      <c r="G32" s="36" t="s">
        <v>219</v>
      </c>
    </row>
    <row r="33" customFormat="false" ht="15" hidden="false" customHeight="false" outlineLevel="0" collapsed="false">
      <c r="A33" s="35" t="s">
        <v>220</v>
      </c>
      <c r="B33" s="44" t="n">
        <v>0.3</v>
      </c>
      <c r="C33" s="44" t="n">
        <v>0.3</v>
      </c>
      <c r="D33" s="44" t="n">
        <f aca="false">(B33+C33)/2</f>
        <v>0.3</v>
      </c>
      <c r="E33" s="45" t="n">
        <f aca="false">$B$10*D33*($B$19/365)</f>
        <v>17347.6320939335</v>
      </c>
      <c r="G33" s="36" t="s">
        <v>221</v>
      </c>
    </row>
    <row r="34" customFormat="false" ht="15" hidden="false" customHeight="false" outlineLevel="0" collapsed="false">
      <c r="A34" s="46" t="s">
        <v>222</v>
      </c>
      <c r="D34" s="47" t="n">
        <f aca="false">B21</f>
        <v>0.415042235217674</v>
      </c>
      <c r="E34" s="48" t="n">
        <f aca="false">B17</f>
        <v>24000</v>
      </c>
      <c r="G34" s="43" t="s">
        <v>223</v>
      </c>
    </row>
    <row r="35" customFormat="false" ht="15" hidden="false" customHeight="false" outlineLevel="0" collapsed="false">
      <c r="A35" s="38" t="s">
        <v>224</v>
      </c>
      <c r="E35" s="49" t="n">
        <f aca="false">MIN(E25:E31)</f>
        <v>4915.16242661448</v>
      </c>
      <c r="G35" s="36" t="s">
        <v>225</v>
      </c>
    </row>
    <row r="36" customFormat="false" ht="15" hidden="false" customHeight="false" outlineLevel="0" collapsed="false">
      <c r="A36" s="50" t="s">
        <v>226</v>
      </c>
      <c r="E36" s="48" t="n">
        <f aca="false">B17-E35</f>
        <v>19084.8375733855</v>
      </c>
      <c r="G36" s="36" t="s">
        <v>227</v>
      </c>
    </row>
    <row r="38" customFormat="false" ht="19.5" hidden="false" customHeight="true" outlineLevel="0" collapsed="false">
      <c r="A38" s="5" t="s">
        <v>228</v>
      </c>
      <c r="B38" s="5"/>
      <c r="C38" s="5"/>
      <c r="D38" s="5"/>
      <c r="E38" s="5"/>
      <c r="F38" s="5"/>
      <c r="G38" s="5"/>
    </row>
    <row r="39" customFormat="false" ht="15" hidden="false" customHeight="false" outlineLevel="0" collapsed="false">
      <c r="A39" s="6" t="s">
        <v>229</v>
      </c>
      <c r="B39" s="7"/>
      <c r="C39" s="8"/>
      <c r="D39" s="8"/>
      <c r="E39" s="8"/>
      <c r="G39" s="7" t="s">
        <v>230</v>
      </c>
    </row>
    <row r="40" customFormat="false" ht="15" hidden="false" customHeight="false" outlineLevel="0" collapsed="false">
      <c r="A40" s="38" t="s">
        <v>231</v>
      </c>
      <c r="G40" s="36" t="s">
        <v>232</v>
      </c>
    </row>
    <row r="41" customFormat="false" ht="15" hidden="false" customHeight="false" outlineLevel="0" collapsed="false">
      <c r="A41" s="38" t="s">
        <v>233</v>
      </c>
      <c r="G41" s="36" t="s">
        <v>234</v>
      </c>
    </row>
    <row r="42" customFormat="false" ht="15" hidden="false" customHeight="false" outlineLevel="0" collapsed="false">
      <c r="A42" s="38" t="s">
        <v>235</v>
      </c>
      <c r="G42" s="36" t="s">
        <v>236</v>
      </c>
    </row>
    <row r="43" customFormat="false" ht="15" hidden="false" customHeight="false" outlineLevel="0" collapsed="false">
      <c r="A43" s="38" t="s">
        <v>237</v>
      </c>
      <c r="G43" s="36" t="s">
        <v>238</v>
      </c>
    </row>
    <row r="44" customFormat="false" ht="15" hidden="false" customHeight="false" outlineLevel="0" collapsed="false">
      <c r="A44" s="38" t="s">
        <v>239</v>
      </c>
      <c r="G44" s="36" t="s">
        <v>240</v>
      </c>
    </row>
    <row r="46" customFormat="false" ht="15" hidden="false" customHeight="false" outlineLevel="0" collapsed="false">
      <c r="A46" s="33" t="s">
        <v>241</v>
      </c>
      <c r="B46" s="33"/>
      <c r="C46" s="33"/>
      <c r="D46" s="33"/>
      <c r="E46" s="33"/>
      <c r="F46" s="33"/>
      <c r="G46" s="33"/>
    </row>
  </sheetData>
  <mergeCells count="9">
    <mergeCell ref="A1:G1"/>
    <mergeCell ref="A2:G2"/>
    <mergeCell ref="A4:G4"/>
    <mergeCell ref="A5:G5"/>
    <mergeCell ref="A6:G6"/>
    <mergeCell ref="A8:G8"/>
    <mergeCell ref="A23:G23"/>
    <mergeCell ref="A38:G38"/>
    <mergeCell ref="A46:G46"/>
  </mergeCells>
  <dataValidations count="1">
    <dataValidation allowBlank="false" error="Choose Revenue share or Fixed term." errorStyle="stop" operator="between" showDropDown="false" showErrorMessage="false" showInputMessage="false" sqref="B12" type="list">
      <formula1>"Revenue share,Fixed term"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3" min="2" style="1" width="26"/>
    <col collapsed="false" customWidth="true" hidden="false" outlineLevel="0" max="4" min="4" style="1" width="2"/>
    <col collapsed="false" customWidth="true" hidden="false" outlineLevel="0" max="5" min="5" style="1" width="78"/>
  </cols>
  <sheetData>
    <row r="1" customFormat="false" ht="30" hidden="false" customHeight="true" outlineLevel="0" collapsed="false">
      <c r="A1" s="2" t="s">
        <v>242</v>
      </c>
      <c r="B1" s="2"/>
      <c r="C1" s="2"/>
      <c r="D1" s="2"/>
      <c r="E1" s="2"/>
    </row>
    <row r="2" customFormat="false" ht="15" hidden="false" customHeight="false" outlineLevel="0" collapsed="false">
      <c r="A2" s="3" t="s">
        <v>243</v>
      </c>
      <c r="B2" s="3"/>
      <c r="C2" s="3"/>
      <c r="D2" s="3"/>
      <c r="E2" s="3"/>
    </row>
    <row r="4" customFormat="false" ht="19.5" hidden="false" customHeight="true" outlineLevel="0" collapsed="false">
      <c r="A4" s="5" t="s">
        <v>244</v>
      </c>
      <c r="B4" s="5"/>
      <c r="C4" s="5"/>
      <c r="D4" s="5"/>
      <c r="E4" s="5"/>
    </row>
    <row r="5" customFormat="false" ht="15" hidden="false" customHeight="false" outlineLevel="0" collapsed="false">
      <c r="A5" s="51" t="s">
        <v>245</v>
      </c>
      <c r="B5" s="51" t="s">
        <v>246</v>
      </c>
      <c r="C5" s="51" t="s">
        <v>247</v>
      </c>
      <c r="D5" s="8"/>
      <c r="E5" s="51" t="s">
        <v>248</v>
      </c>
    </row>
    <row r="6" customFormat="false" ht="15" hidden="false" customHeight="false" outlineLevel="0" collapsed="false">
      <c r="A6" s="35" t="s">
        <v>249</v>
      </c>
      <c r="B6" s="35" t="s">
        <v>250</v>
      </c>
      <c r="C6" s="35" t="s">
        <v>251</v>
      </c>
      <c r="E6" s="36" t="s">
        <v>252</v>
      </c>
    </row>
    <row r="7" customFormat="false" ht="15" hidden="false" customHeight="false" outlineLevel="0" collapsed="false">
      <c r="A7" s="35" t="s">
        <v>253</v>
      </c>
      <c r="B7" s="35" t="s">
        <v>254</v>
      </c>
      <c r="C7" s="35" t="s">
        <v>255</v>
      </c>
      <c r="E7" s="36" t="s">
        <v>256</v>
      </c>
    </row>
    <row r="8" customFormat="false" ht="15" hidden="false" customHeight="false" outlineLevel="0" collapsed="false">
      <c r="A8" s="35" t="s">
        <v>257</v>
      </c>
      <c r="B8" s="35" t="s">
        <v>258</v>
      </c>
      <c r="C8" s="35" t="s">
        <v>259</v>
      </c>
      <c r="E8" s="36" t="s">
        <v>260</v>
      </c>
    </row>
    <row r="9" customFormat="false" ht="15" hidden="false" customHeight="false" outlineLevel="0" collapsed="false">
      <c r="A9" s="35" t="s">
        <v>261</v>
      </c>
      <c r="B9" s="35" t="s">
        <v>262</v>
      </c>
      <c r="C9" s="35" t="s">
        <v>263</v>
      </c>
      <c r="E9" s="36" t="s">
        <v>264</v>
      </c>
    </row>
    <row r="10" customFormat="false" ht="15" hidden="false" customHeight="false" outlineLevel="0" collapsed="false">
      <c r="A10" s="35" t="s">
        <v>265</v>
      </c>
      <c r="B10" s="35" t="s">
        <v>262</v>
      </c>
      <c r="C10" s="35" t="s">
        <v>266</v>
      </c>
      <c r="E10" s="36" t="s">
        <v>267</v>
      </c>
    </row>
    <row r="11" customFormat="false" ht="15" hidden="false" customHeight="false" outlineLevel="0" collapsed="false">
      <c r="A11" s="35" t="s">
        <v>268</v>
      </c>
      <c r="B11" s="35" t="s">
        <v>262</v>
      </c>
      <c r="C11" s="35" t="s">
        <v>269</v>
      </c>
      <c r="E11" s="36" t="s">
        <v>270</v>
      </c>
    </row>
    <row r="12" customFormat="false" ht="15" hidden="false" customHeight="false" outlineLevel="0" collapsed="false">
      <c r="A12" s="35" t="s">
        <v>271</v>
      </c>
      <c r="B12" s="35" t="s">
        <v>262</v>
      </c>
      <c r="C12" s="35" t="s">
        <v>272</v>
      </c>
      <c r="E12" s="36" t="s">
        <v>273</v>
      </c>
    </row>
    <row r="13" customFormat="false" ht="15" hidden="false" customHeight="false" outlineLevel="0" collapsed="false">
      <c r="A13" s="35" t="s">
        <v>274</v>
      </c>
      <c r="B13" s="35" t="s">
        <v>262</v>
      </c>
      <c r="C13" s="35" t="s">
        <v>275</v>
      </c>
      <c r="E13" s="36" t="s">
        <v>276</v>
      </c>
    </row>
    <row r="14" customFormat="false" ht="15" hidden="false" customHeight="false" outlineLevel="0" collapsed="false">
      <c r="A14" s="35" t="s">
        <v>277</v>
      </c>
      <c r="B14" s="35" t="s">
        <v>278</v>
      </c>
      <c r="C14" s="35" t="s">
        <v>279</v>
      </c>
      <c r="E14" s="36" t="s">
        <v>280</v>
      </c>
    </row>
    <row r="16" customFormat="false" ht="19.5" hidden="false" customHeight="true" outlineLevel="0" collapsed="false">
      <c r="A16" s="5" t="s">
        <v>281</v>
      </c>
      <c r="B16" s="5"/>
      <c r="C16" s="5"/>
      <c r="D16" s="5"/>
      <c r="E16" s="5"/>
    </row>
    <row r="17" customFormat="false" ht="15" hidden="false" customHeight="false" outlineLevel="0" collapsed="false">
      <c r="A17" s="51" t="s">
        <v>84</v>
      </c>
      <c r="B17" s="51" t="s">
        <v>282</v>
      </c>
      <c r="C17" s="51" t="s">
        <v>283</v>
      </c>
      <c r="D17" s="8"/>
      <c r="E17" s="51" t="s">
        <v>248</v>
      </c>
    </row>
    <row r="18" customFormat="false" ht="15" hidden="false" customHeight="false" outlineLevel="0" collapsed="false">
      <c r="A18" s="35" t="s">
        <v>284</v>
      </c>
      <c r="B18" s="35" t="s">
        <v>285</v>
      </c>
      <c r="C18" s="35" t="s">
        <v>286</v>
      </c>
      <c r="E18" s="36" t="s">
        <v>287</v>
      </c>
    </row>
    <row r="19" customFormat="false" ht="15" hidden="false" customHeight="false" outlineLevel="0" collapsed="false">
      <c r="A19" s="35" t="s">
        <v>149</v>
      </c>
      <c r="B19" s="35" t="s">
        <v>288</v>
      </c>
      <c r="C19" s="35" t="s">
        <v>289</v>
      </c>
      <c r="E19" s="36" t="s">
        <v>290</v>
      </c>
    </row>
    <row r="20" customFormat="false" ht="15" hidden="false" customHeight="false" outlineLevel="0" collapsed="false">
      <c r="A20" s="35" t="s">
        <v>152</v>
      </c>
      <c r="B20" s="35" t="s">
        <v>153</v>
      </c>
      <c r="C20" s="35" t="s">
        <v>291</v>
      </c>
      <c r="E20" s="36" t="s">
        <v>292</v>
      </c>
    </row>
    <row r="21" customFormat="false" ht="15" hidden="false" customHeight="false" outlineLevel="0" collapsed="false">
      <c r="A21" s="35" t="s">
        <v>293</v>
      </c>
      <c r="B21" s="35" t="s">
        <v>294</v>
      </c>
      <c r="C21" s="35" t="s">
        <v>295</v>
      </c>
      <c r="E21" s="36" t="s">
        <v>296</v>
      </c>
    </row>
    <row r="22" customFormat="false" ht="15" hidden="false" customHeight="false" outlineLevel="0" collapsed="false">
      <c r="A22" s="35" t="s">
        <v>297</v>
      </c>
      <c r="B22" s="35" t="s">
        <v>298</v>
      </c>
      <c r="C22" s="35" t="s">
        <v>299</v>
      </c>
      <c r="E22" s="36" t="s">
        <v>300</v>
      </c>
    </row>
    <row r="23" customFormat="false" ht="15" hidden="false" customHeight="false" outlineLevel="0" collapsed="false">
      <c r="A23" s="35" t="s">
        <v>301</v>
      </c>
      <c r="B23" s="35" t="s">
        <v>302</v>
      </c>
      <c r="C23" s="35" t="s">
        <v>303</v>
      </c>
      <c r="E23" s="36" t="s">
        <v>304</v>
      </c>
    </row>
    <row r="24" customFormat="false" ht="15" hidden="false" customHeight="false" outlineLevel="0" collapsed="false">
      <c r="A24" s="35" t="s">
        <v>305</v>
      </c>
      <c r="B24" s="35" t="s">
        <v>306</v>
      </c>
      <c r="C24" s="35" t="s">
        <v>307</v>
      </c>
      <c r="E24" s="36" t="s">
        <v>308</v>
      </c>
    </row>
    <row r="25" customFormat="false" ht="15" hidden="false" customHeight="false" outlineLevel="0" collapsed="false">
      <c r="A25" s="35" t="s">
        <v>309</v>
      </c>
      <c r="B25" s="35" t="s">
        <v>310</v>
      </c>
      <c r="C25" s="35" t="s">
        <v>307</v>
      </c>
      <c r="E25" s="36" t="s">
        <v>311</v>
      </c>
    </row>
    <row r="26" customFormat="false" ht="15" hidden="false" customHeight="false" outlineLevel="0" collapsed="false">
      <c r="A26" s="35" t="s">
        <v>312</v>
      </c>
      <c r="B26" s="35" t="s">
        <v>313</v>
      </c>
      <c r="C26" s="35" t="s">
        <v>314</v>
      </c>
      <c r="E26" s="36" t="s">
        <v>315</v>
      </c>
    </row>
    <row r="28" customFormat="false" ht="19.5" hidden="false" customHeight="true" outlineLevel="0" collapsed="false">
      <c r="A28" s="5" t="s">
        <v>316</v>
      </c>
      <c r="B28" s="5"/>
      <c r="C28" s="5"/>
      <c r="D28" s="5"/>
      <c r="E28" s="5"/>
    </row>
    <row r="29" customFormat="false" ht="15" hidden="false" customHeight="false" outlineLevel="0" collapsed="false">
      <c r="A29" s="51" t="s">
        <v>35</v>
      </c>
      <c r="B29" s="51" t="s">
        <v>317</v>
      </c>
      <c r="C29" s="51"/>
      <c r="D29" s="8"/>
      <c r="E29" s="51" t="s">
        <v>318</v>
      </c>
    </row>
    <row r="30" customFormat="false" ht="15" hidden="false" customHeight="false" outlineLevel="0" collapsed="false">
      <c r="A30" s="35" t="s">
        <v>319</v>
      </c>
      <c r="B30" s="35" t="s">
        <v>320</v>
      </c>
      <c r="C30" s="35"/>
      <c r="E30" s="36"/>
    </row>
    <row r="31" customFormat="false" ht="15" hidden="false" customHeight="false" outlineLevel="0" collapsed="false">
      <c r="A31" s="35" t="s">
        <v>321</v>
      </c>
      <c r="B31" s="35" t="s">
        <v>322</v>
      </c>
      <c r="C31" s="35"/>
      <c r="E31" s="36"/>
    </row>
    <row r="32" customFormat="false" ht="15" hidden="false" customHeight="false" outlineLevel="0" collapsed="false">
      <c r="A32" s="35" t="s">
        <v>323</v>
      </c>
      <c r="B32" s="35" t="s">
        <v>53</v>
      </c>
      <c r="C32" s="35"/>
      <c r="E32" s="36"/>
    </row>
    <row r="33" customFormat="false" ht="15" hidden="false" customHeight="false" outlineLevel="0" collapsed="false">
      <c r="A33" s="35" t="s">
        <v>45</v>
      </c>
      <c r="B33" s="35" t="s">
        <v>324</v>
      </c>
      <c r="C33" s="35"/>
      <c r="E33" s="36"/>
    </row>
    <row r="34" customFormat="false" ht="15" hidden="false" customHeight="false" outlineLevel="0" collapsed="false">
      <c r="A34" s="35" t="s">
        <v>325</v>
      </c>
      <c r="B34" s="35" t="s">
        <v>326</v>
      </c>
      <c r="C34" s="35"/>
      <c r="E34" s="36"/>
    </row>
    <row r="35" customFormat="false" ht="15" hidden="false" customHeight="false" outlineLevel="0" collapsed="false">
      <c r="A35" s="35" t="s">
        <v>327</v>
      </c>
      <c r="B35" s="35" t="s">
        <v>328</v>
      </c>
      <c r="C35" s="35"/>
      <c r="E35" s="36"/>
    </row>
    <row r="36" customFormat="false" ht="15" hidden="false" customHeight="false" outlineLevel="0" collapsed="false">
      <c r="A36" s="35" t="s">
        <v>329</v>
      </c>
      <c r="B36" s="35" t="s">
        <v>330</v>
      </c>
      <c r="C36" s="35"/>
      <c r="E36" s="36"/>
    </row>
    <row r="37" customFormat="false" ht="15" hidden="false" customHeight="false" outlineLevel="0" collapsed="false">
      <c r="A37" s="35" t="s">
        <v>331</v>
      </c>
      <c r="B37" s="35" t="s">
        <v>332</v>
      </c>
      <c r="C37" s="35"/>
      <c r="E37" s="36"/>
    </row>
    <row r="38" customFormat="false" ht="15" hidden="false" customHeight="false" outlineLevel="0" collapsed="false">
      <c r="A38" s="35" t="s">
        <v>333</v>
      </c>
      <c r="B38" s="35"/>
      <c r="C38" s="35"/>
      <c r="E38" s="36"/>
    </row>
    <row r="39" customFormat="false" ht="15" hidden="false" customHeight="false" outlineLevel="0" collapsed="false">
      <c r="A39" s="35" t="s">
        <v>334</v>
      </c>
      <c r="B39" s="35"/>
      <c r="C39" s="35"/>
      <c r="E39" s="36"/>
    </row>
    <row r="40" customFormat="false" ht="15" hidden="false" customHeight="false" outlineLevel="0" collapsed="false">
      <c r="A40" s="35" t="s">
        <v>335</v>
      </c>
      <c r="B40" s="35"/>
      <c r="C40" s="35"/>
      <c r="E40" s="36"/>
    </row>
    <row r="41" customFormat="false" ht="15" hidden="false" customHeight="false" outlineLevel="0" collapsed="false">
      <c r="A41" s="35" t="s">
        <v>336</v>
      </c>
      <c r="B41" s="35"/>
      <c r="C41" s="35"/>
      <c r="E41" s="36"/>
    </row>
    <row r="42" customFormat="false" ht="15" hidden="false" customHeight="false" outlineLevel="0" collapsed="false">
      <c r="A42" s="38" t="s">
        <v>337</v>
      </c>
      <c r="B42" s="38" t="s">
        <v>338</v>
      </c>
      <c r="C42" s="35"/>
      <c r="E42" s="36" t="s">
        <v>339</v>
      </c>
    </row>
    <row r="44" customFormat="false" ht="19.5" hidden="false" customHeight="true" outlineLevel="0" collapsed="false">
      <c r="A44" s="5" t="s">
        <v>340</v>
      </c>
      <c r="B44" s="5"/>
      <c r="C44" s="5"/>
      <c r="D44" s="5"/>
      <c r="E44" s="5"/>
    </row>
    <row r="45" customFormat="false" ht="15" hidden="false" customHeight="false" outlineLevel="0" collapsed="false">
      <c r="A45" s="51" t="s">
        <v>341</v>
      </c>
      <c r="B45" s="51" t="s">
        <v>146</v>
      </c>
      <c r="C45" s="51"/>
      <c r="D45" s="8"/>
      <c r="E45" s="51" t="s">
        <v>248</v>
      </c>
    </row>
    <row r="46" customFormat="false" ht="15" hidden="false" customHeight="false" outlineLevel="0" collapsed="false">
      <c r="A46" s="35" t="s">
        <v>342</v>
      </c>
      <c r="B46" s="35" t="s">
        <v>343</v>
      </c>
      <c r="C46" s="35"/>
      <c r="E46" s="36" t="s">
        <v>344</v>
      </c>
    </row>
    <row r="47" customFormat="false" ht="15" hidden="false" customHeight="false" outlineLevel="0" collapsed="false">
      <c r="A47" s="35" t="s">
        <v>345</v>
      </c>
      <c r="B47" s="35" t="s">
        <v>346</v>
      </c>
      <c r="C47" s="35"/>
      <c r="E47" s="36" t="s">
        <v>347</v>
      </c>
    </row>
    <row r="48" customFormat="false" ht="15" hidden="false" customHeight="false" outlineLevel="0" collapsed="false">
      <c r="A48" s="35" t="s">
        <v>348</v>
      </c>
      <c r="B48" s="35" t="s">
        <v>349</v>
      </c>
      <c r="C48" s="35"/>
      <c r="E48" s="36" t="s">
        <v>350</v>
      </c>
    </row>
    <row r="49" customFormat="false" ht="15" hidden="false" customHeight="false" outlineLevel="0" collapsed="false">
      <c r="A49" s="35" t="s">
        <v>351</v>
      </c>
      <c r="B49" s="35" t="s">
        <v>352</v>
      </c>
      <c r="C49" s="35"/>
      <c r="E49" s="36" t="s">
        <v>353</v>
      </c>
    </row>
    <row r="50" customFormat="false" ht="15" hidden="false" customHeight="false" outlineLevel="0" collapsed="false">
      <c r="A50" s="35" t="s">
        <v>354</v>
      </c>
      <c r="B50" s="35" t="s">
        <v>355</v>
      </c>
      <c r="C50" s="35"/>
      <c r="E50" s="36" t="s">
        <v>356</v>
      </c>
    </row>
    <row r="51" customFormat="false" ht="15" hidden="false" customHeight="false" outlineLevel="0" collapsed="false">
      <c r="A51" s="35" t="s">
        <v>357</v>
      </c>
      <c r="B51" s="35" t="s">
        <v>358</v>
      </c>
      <c r="C51" s="35"/>
      <c r="E51" s="36" t="s">
        <v>359</v>
      </c>
    </row>
    <row r="52" customFormat="false" ht="15" hidden="false" customHeight="false" outlineLevel="0" collapsed="false">
      <c r="A52" s="35" t="s">
        <v>360</v>
      </c>
      <c r="B52" s="35" t="s">
        <v>361</v>
      </c>
      <c r="C52" s="35"/>
      <c r="E52" s="36" t="s">
        <v>359</v>
      </c>
    </row>
    <row r="53" customFormat="false" ht="15" hidden="false" customHeight="false" outlineLevel="0" collapsed="false">
      <c r="A53" s="35" t="s">
        <v>362</v>
      </c>
      <c r="B53" s="35" t="s">
        <v>363</v>
      </c>
      <c r="C53" s="35"/>
      <c r="E53" s="36" t="s">
        <v>364</v>
      </c>
    </row>
    <row r="55" customFormat="false" ht="19.5" hidden="false" customHeight="true" outlineLevel="0" collapsed="false">
      <c r="A55" s="5" t="s">
        <v>365</v>
      </c>
      <c r="B55" s="5"/>
      <c r="C55" s="5"/>
      <c r="D55" s="5"/>
      <c r="E55" s="5"/>
    </row>
    <row r="56" customFormat="false" ht="15" hidden="false" customHeight="false" outlineLevel="0" collapsed="false">
      <c r="A56" s="51" t="s">
        <v>198</v>
      </c>
      <c r="B56" s="51" t="s">
        <v>366</v>
      </c>
      <c r="C56" s="51" t="s">
        <v>367</v>
      </c>
      <c r="D56" s="8"/>
      <c r="E56" s="51" t="s">
        <v>248</v>
      </c>
    </row>
    <row r="57" customFormat="false" ht="15" hidden="false" customHeight="false" outlineLevel="0" collapsed="false">
      <c r="A57" s="35" t="s">
        <v>368</v>
      </c>
      <c r="B57" s="35" t="s">
        <v>369</v>
      </c>
      <c r="C57" s="35" t="s">
        <v>369</v>
      </c>
      <c r="E57" s="36" t="s">
        <v>370</v>
      </c>
    </row>
    <row r="58" customFormat="false" ht="15" hidden="false" customHeight="false" outlineLevel="0" collapsed="false">
      <c r="A58" s="35" t="s">
        <v>371</v>
      </c>
      <c r="B58" s="35" t="s">
        <v>372</v>
      </c>
      <c r="C58" s="35" t="s">
        <v>373</v>
      </c>
      <c r="E58" s="36" t="s">
        <v>374</v>
      </c>
    </row>
    <row r="59" customFormat="false" ht="15" hidden="false" customHeight="false" outlineLevel="0" collapsed="false">
      <c r="A59" s="35" t="s">
        <v>210</v>
      </c>
      <c r="B59" s="35" t="s">
        <v>307</v>
      </c>
      <c r="C59" s="35" t="s">
        <v>375</v>
      </c>
      <c r="E59" s="36" t="s">
        <v>300</v>
      </c>
    </row>
    <row r="60" customFormat="false" ht="15" hidden="false" customHeight="false" outlineLevel="0" collapsed="false">
      <c r="A60" s="35" t="s">
        <v>376</v>
      </c>
      <c r="B60" s="35" t="s">
        <v>377</v>
      </c>
      <c r="C60" s="35" t="s">
        <v>378</v>
      </c>
      <c r="E60" s="36" t="s">
        <v>379</v>
      </c>
    </row>
    <row r="61" customFormat="false" ht="15" hidden="false" customHeight="false" outlineLevel="0" collapsed="false">
      <c r="A61" s="35" t="s">
        <v>212</v>
      </c>
      <c r="B61" s="35" t="s">
        <v>380</v>
      </c>
      <c r="C61" s="35" t="s">
        <v>381</v>
      </c>
      <c r="E61" s="36" t="s">
        <v>382</v>
      </c>
    </row>
    <row r="62" customFormat="false" ht="15" hidden="false" customHeight="false" outlineLevel="0" collapsed="false">
      <c r="A62" s="35" t="s">
        <v>383</v>
      </c>
      <c r="B62" s="35" t="s">
        <v>307</v>
      </c>
      <c r="C62" s="35" t="s">
        <v>384</v>
      </c>
      <c r="E62" s="36" t="s">
        <v>385</v>
      </c>
    </row>
    <row r="63" customFormat="false" ht="15" hidden="false" customHeight="false" outlineLevel="0" collapsed="false">
      <c r="A63" s="35" t="s">
        <v>220</v>
      </c>
      <c r="B63" s="35" t="s">
        <v>307</v>
      </c>
      <c r="C63" s="35" t="s">
        <v>386</v>
      </c>
      <c r="E63" s="36" t="s">
        <v>387</v>
      </c>
    </row>
    <row r="65" customFormat="false" ht="19.5" hidden="false" customHeight="true" outlineLevel="0" collapsed="false">
      <c r="A65" s="5" t="s">
        <v>388</v>
      </c>
      <c r="B65" s="5"/>
      <c r="C65" s="5"/>
      <c r="D65" s="5"/>
      <c r="E65" s="5"/>
    </row>
    <row r="66" customFormat="false" ht="15" hidden="false" customHeight="false" outlineLevel="0" collapsed="false">
      <c r="A66" s="52" t="s">
        <v>389</v>
      </c>
      <c r="B66" s="52"/>
      <c r="C66" s="52"/>
      <c r="D66" s="52"/>
      <c r="E66" s="52"/>
    </row>
    <row r="67" customFormat="false" ht="15" hidden="false" customHeight="false" outlineLevel="0" collapsed="false">
      <c r="A67" s="52" t="s">
        <v>390</v>
      </c>
      <c r="B67" s="52"/>
      <c r="C67" s="52"/>
      <c r="D67" s="52"/>
      <c r="E67" s="52"/>
    </row>
    <row r="68" customFormat="false" ht="15" hidden="false" customHeight="false" outlineLevel="0" collapsed="false">
      <c r="A68" s="52" t="s">
        <v>391</v>
      </c>
      <c r="B68" s="52"/>
      <c r="C68" s="52"/>
      <c r="D68" s="52"/>
      <c r="E68" s="52"/>
    </row>
    <row r="69" customFormat="false" ht="15" hidden="false" customHeight="false" outlineLevel="0" collapsed="false">
      <c r="A69" s="52" t="s">
        <v>392</v>
      </c>
      <c r="B69" s="52"/>
      <c r="C69" s="52"/>
      <c r="D69" s="52"/>
      <c r="E69" s="52"/>
    </row>
    <row r="70" customFormat="false" ht="15" hidden="false" customHeight="false" outlineLevel="0" collapsed="false">
      <c r="A70" s="52" t="s">
        <v>393</v>
      </c>
      <c r="B70" s="52"/>
      <c r="C70" s="52"/>
      <c r="D70" s="52"/>
      <c r="E70" s="52"/>
    </row>
    <row r="72" customFormat="false" ht="15" hidden="false" customHeight="false" outlineLevel="0" collapsed="false">
      <c r="A72" s="33" t="s">
        <v>394</v>
      </c>
      <c r="B72" s="33"/>
      <c r="C72" s="33"/>
      <c r="D72" s="33"/>
      <c r="E72" s="33"/>
    </row>
  </sheetData>
  <mergeCells count="14">
    <mergeCell ref="A1:E1"/>
    <mergeCell ref="A2:E2"/>
    <mergeCell ref="A4:E4"/>
    <mergeCell ref="A16:E16"/>
    <mergeCell ref="A28:E28"/>
    <mergeCell ref="A44:E44"/>
    <mergeCell ref="A55:E55"/>
    <mergeCell ref="A65:E65"/>
    <mergeCell ref="A66:E66"/>
    <mergeCell ref="A67:E67"/>
    <mergeCell ref="A68:E68"/>
    <mergeCell ref="A69:E69"/>
    <mergeCell ref="A70:E70"/>
    <mergeCell ref="A72:E7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2026-07-30T18:49:55Z</dcterms:created>
  <dc:creator>openpyxl</dc:creator>
  <dc:description/>
  <dc:language>en-US</dc:language>
  <cp:lastModifiedBy/>
  <dcterms:modified xsi:type="dcterms:W3CDTF">2026-07-30T18:49:55Z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